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5341" windowWidth="5070" windowHeight="6645" activeTab="0"/>
  </bookViews>
  <sheets>
    <sheet name="Coverpage" sheetId="1" r:id="rId1"/>
    <sheet name="Summary" sheetId="2" r:id="rId2"/>
    <sheet name="A.Outputs Budgeting" sheetId="3" r:id="rId3"/>
    <sheet name="Civil Service &amp; HRM" sheetId="4" r:id="rId4"/>
    <sheet name="ASPA" sheetId="5" r:id="rId5"/>
    <sheet name="Policy&amp;Monitoring&amp;Legislation" sheetId="6" r:id="rId6"/>
    <sheet name="Innovation" sheetId="7" r:id="rId7"/>
    <sheet name="Decentralisation " sheetId="8" r:id="rId8"/>
    <sheet name="Transparency &amp; Anti-corruption " sheetId="9" r:id="rId9"/>
  </sheets>
  <externalReferences>
    <externalReference r:id="rId12"/>
  </externalReferences>
  <definedNames>
    <definedName name="OLE_LINK3" localSheetId="2">'A.Outputs Budgeting'!#REF!</definedName>
    <definedName name="_xlnm.Print_Area" localSheetId="2">'A.Outputs Budgeting'!$A$2:$L$201</definedName>
    <definedName name="_xlnm.Print_Area" localSheetId="0">'Coverpage'!$B$1:$J$26</definedName>
  </definedNames>
  <calcPr fullCalcOnLoad="1"/>
</workbook>
</file>

<file path=xl/sharedStrings.xml><?xml version="1.0" encoding="utf-8"?>
<sst xmlns="http://schemas.openxmlformats.org/spreadsheetml/2006/main" count="1282" uniqueCount="713">
  <si>
    <t>fee</t>
  </si>
  <si>
    <t>Total</t>
  </si>
  <si>
    <t xml:space="preserve">Total </t>
  </si>
  <si>
    <t>Nr</t>
  </si>
  <si>
    <t>4(1x2x3)</t>
  </si>
  <si>
    <t>a</t>
  </si>
  <si>
    <t>b</t>
  </si>
  <si>
    <t>c</t>
  </si>
  <si>
    <t>d</t>
  </si>
  <si>
    <t>e</t>
  </si>
  <si>
    <t>f</t>
  </si>
  <si>
    <t xml:space="preserve">Ndarja e buxhetit ne vite </t>
  </si>
  <si>
    <t xml:space="preserve">Number </t>
  </si>
  <si>
    <t>Viti 2015</t>
  </si>
  <si>
    <t>Viti 2016</t>
  </si>
  <si>
    <t>Viti 2017</t>
  </si>
  <si>
    <t>Viti 2018-2020</t>
  </si>
  <si>
    <t>1.1.1</t>
  </si>
  <si>
    <t>2.2.1</t>
  </si>
  <si>
    <t>2.1.1</t>
  </si>
  <si>
    <t>2.1.2</t>
  </si>
  <si>
    <t>2.2.2</t>
  </si>
  <si>
    <t>3.1.1</t>
  </si>
  <si>
    <t>3.1.2</t>
  </si>
  <si>
    <t>3.1.3</t>
  </si>
  <si>
    <t>3.2.1</t>
  </si>
  <si>
    <t>3.2.2</t>
  </si>
  <si>
    <t>4.1.1</t>
  </si>
  <si>
    <t>4.2.1</t>
  </si>
  <si>
    <t>4.2.2</t>
  </si>
  <si>
    <t>1.1.2</t>
  </si>
  <si>
    <t>1.1.3</t>
  </si>
  <si>
    <t>1.1.4</t>
  </si>
  <si>
    <t xml:space="preserve"> </t>
  </si>
  <si>
    <t>1.1.5</t>
  </si>
  <si>
    <t>1.2.1</t>
  </si>
  <si>
    <t>1.2.2</t>
  </si>
  <si>
    <t>1.2.3</t>
  </si>
  <si>
    <t>1.2.8</t>
  </si>
  <si>
    <t>1.3.1</t>
  </si>
  <si>
    <t>1.3.2</t>
  </si>
  <si>
    <t>1.3.3</t>
  </si>
  <si>
    <t>1.3.4</t>
  </si>
  <si>
    <t>1.3.5</t>
  </si>
  <si>
    <t>1.4.1</t>
  </si>
  <si>
    <t>1.4.2</t>
  </si>
  <si>
    <t>1.4.3</t>
  </si>
  <si>
    <t>1.5.1</t>
  </si>
  <si>
    <t>1.5.2</t>
  </si>
  <si>
    <t>2.1.3</t>
  </si>
  <si>
    <t>2.2.3</t>
  </si>
  <si>
    <t>2.3.1</t>
  </si>
  <si>
    <t>2.3.2</t>
  </si>
  <si>
    <t>2.4.1</t>
  </si>
  <si>
    <t>2.4.2</t>
  </si>
  <si>
    <t>2.4.3</t>
  </si>
  <si>
    <t>3.2.3</t>
  </si>
  <si>
    <t>3.2.4</t>
  </si>
  <si>
    <t>4.1.2</t>
  </si>
  <si>
    <t>4.3.1</t>
  </si>
  <si>
    <t>5.1.1</t>
  </si>
  <si>
    <t>5.1.2</t>
  </si>
  <si>
    <t>5.2.1</t>
  </si>
  <si>
    <t>HRMIS</t>
  </si>
  <si>
    <t>5.3.1</t>
  </si>
  <si>
    <t>5.3.2</t>
  </si>
  <si>
    <t>5.4.1</t>
  </si>
  <si>
    <t>sqarime</t>
  </si>
  <si>
    <t>20 ministri, 20 persona/mini. 3 cikle 3 ditore trajnimi</t>
  </si>
  <si>
    <t>1 ekspert I huaj dhe 1 lokal</t>
  </si>
  <si>
    <t>1 ekspert I huaj dhe 1 lokal qe do bejne rishikimin e gjithe kuadrit institucional, urdheri , manuali I IPS prodhimi dhe botimi</t>
  </si>
  <si>
    <t xml:space="preserve">a. 1 retreat ne vit per Kabinetin e Qeverise (ministrat dhe KM) 
b. 1 retreat ne vit per Sekretaret e Pergjithshem
 </t>
  </si>
  <si>
    <t xml:space="preserve"> 2 trajnime ne vit me ML per IPS</t>
  </si>
  <si>
    <t xml:space="preserve">30 dokumenta strategjike: 5 eksperte lokale ( 1 TL + 4 eksperte). 20 dite per sektore ekpsertet. TL 50 dite me shume </t>
  </si>
  <si>
    <t>1 ekspert te huaj dhe 1 lokal per sektor</t>
  </si>
  <si>
    <t>5 persona te rinj, llogaritur si buxhet per 6 vjet</t>
  </si>
  <si>
    <t>6 vjet /3 ST per 10 persona. 1 ST 5 dite.</t>
  </si>
  <si>
    <t>1 ne vit 1 ditor</t>
  </si>
  <si>
    <t>Trajnime per stafet e Ministrive</t>
  </si>
  <si>
    <t>1.5.3</t>
  </si>
  <si>
    <t>Trajnim I vazhdueshem per stafin e ri te MF</t>
  </si>
  <si>
    <t>Trajnime per stafet e Ministrive . Te pakten 15 persona/ministri= 300 ne total</t>
  </si>
  <si>
    <t>a. hartimi I paketes se trajnimit 
b.trajnimi I stafeve (20 persona/ministri) + 30% te stafeve te reja potencialisht te hyra ne vit</t>
  </si>
  <si>
    <t>Trajnim per stafin e SPU</t>
  </si>
  <si>
    <t>Shqyrtimi I tyre ne 19 ministri. Hartimi I raportit dhe rekomandimeve</t>
  </si>
  <si>
    <t>Perfshihet trajnimi dhe coaching per menaxheret e larte gjate fazes se hartimit te PBA + Strategji</t>
  </si>
  <si>
    <t>2.3.3</t>
  </si>
  <si>
    <t>2.4.5</t>
  </si>
  <si>
    <t>2.5.1</t>
  </si>
  <si>
    <t>2.5.2</t>
  </si>
  <si>
    <t>2.5.3</t>
  </si>
  <si>
    <t>2.6.1</t>
  </si>
  <si>
    <t>2.6.2</t>
  </si>
  <si>
    <t>2.6.3</t>
  </si>
  <si>
    <t>2.7.1</t>
  </si>
  <si>
    <t>2.7.2</t>
  </si>
  <si>
    <t>1 exp huaj + 1 exc lokal</t>
  </si>
  <si>
    <t>3.1.4</t>
  </si>
  <si>
    <t>3.1.5</t>
  </si>
  <si>
    <t>3.1.6</t>
  </si>
  <si>
    <t>3.2.5</t>
  </si>
  <si>
    <t xml:space="preserve">rishikimi I kuadrit, metodologjise + hartimi dhe publikimi I manualit </t>
  </si>
  <si>
    <t>Trajnime + Study Tour</t>
  </si>
  <si>
    <t>10 persona /ML=400 . Trajnim 2 ditor/ per 3 vjet</t>
  </si>
  <si>
    <t>700000 TA</t>
  </si>
  <si>
    <t>6.8.1</t>
  </si>
  <si>
    <t>IPS 2</t>
  </si>
  <si>
    <t>6.8.2</t>
  </si>
  <si>
    <t>6.8.3</t>
  </si>
  <si>
    <t>6.8.4</t>
  </si>
  <si>
    <t>cross over</t>
  </si>
  <si>
    <t>8.2 / 8.3 / 5.2</t>
  </si>
  <si>
    <t>1.1.6</t>
  </si>
  <si>
    <t>1.1.7</t>
  </si>
  <si>
    <t>1.1.8</t>
  </si>
  <si>
    <t>1.1.9</t>
  </si>
  <si>
    <t>1.1.10</t>
  </si>
  <si>
    <t>1.6.1</t>
  </si>
  <si>
    <t>1.8.1</t>
  </si>
  <si>
    <t>1.8.2</t>
  </si>
  <si>
    <t>1.1.11</t>
  </si>
  <si>
    <t>1.1.12</t>
  </si>
  <si>
    <t>1.1.13</t>
  </si>
  <si>
    <t>1.8.3</t>
  </si>
  <si>
    <t>1.8.4</t>
  </si>
  <si>
    <t>2.2.2.</t>
  </si>
  <si>
    <t>3.3.1</t>
  </si>
  <si>
    <t>3.3.2</t>
  </si>
  <si>
    <t>3.3.3</t>
  </si>
  <si>
    <t>3.3.4</t>
  </si>
  <si>
    <t>3.4.1</t>
  </si>
  <si>
    <t>3.4.2</t>
  </si>
  <si>
    <t>3.4.3</t>
  </si>
  <si>
    <t>3.4.4</t>
  </si>
  <si>
    <t>8.1.1</t>
  </si>
  <si>
    <t>8.1.2</t>
  </si>
  <si>
    <t>8.2.1</t>
  </si>
  <si>
    <t>8.3.1</t>
  </si>
  <si>
    <t>9.1.1</t>
  </si>
  <si>
    <t>9.2.1</t>
  </si>
  <si>
    <t>9.2.2</t>
  </si>
  <si>
    <t>9.2.3</t>
  </si>
  <si>
    <t>9.3.1</t>
  </si>
  <si>
    <t>4.1.3</t>
  </si>
  <si>
    <t>6.5.1</t>
  </si>
  <si>
    <t>6.5.2</t>
  </si>
  <si>
    <t>6.5.3</t>
  </si>
  <si>
    <t>6.5.4</t>
  </si>
  <si>
    <t>6.6.1</t>
  </si>
  <si>
    <t>6.6.2</t>
  </si>
  <si>
    <t>6.7.1</t>
  </si>
  <si>
    <t>6.7.2</t>
  </si>
  <si>
    <t>IPA</t>
  </si>
  <si>
    <t>6.9.1</t>
  </si>
  <si>
    <t>6.9.2</t>
  </si>
  <si>
    <t>6.9.3</t>
  </si>
  <si>
    <t>6.9.4</t>
  </si>
  <si>
    <t>6.9.5</t>
  </si>
  <si>
    <t>6.9.6</t>
  </si>
  <si>
    <t>6.9.7</t>
  </si>
  <si>
    <t>6.9.8</t>
  </si>
  <si>
    <t>6.9.9</t>
  </si>
  <si>
    <t>6.10.1</t>
  </si>
  <si>
    <t>6.10.2</t>
  </si>
  <si>
    <t>6.10.3</t>
  </si>
  <si>
    <t>6.10.4</t>
  </si>
  <si>
    <t>6.10.5</t>
  </si>
  <si>
    <t>6.10.6</t>
  </si>
  <si>
    <t>6.10.7</t>
  </si>
  <si>
    <t>6.10.8</t>
  </si>
  <si>
    <t>6.10.9</t>
  </si>
  <si>
    <t>10.1.1</t>
  </si>
  <si>
    <t>10.1.2</t>
  </si>
  <si>
    <t>10.2.1</t>
  </si>
  <si>
    <t>10.2.2</t>
  </si>
  <si>
    <t>4.3.2</t>
  </si>
  <si>
    <t>6.2.1</t>
  </si>
  <si>
    <t>6.2.2</t>
  </si>
  <si>
    <t>6.4.2</t>
  </si>
  <si>
    <t>6.4.1</t>
  </si>
  <si>
    <t>6.3.1</t>
  </si>
  <si>
    <t>2.3.4</t>
  </si>
  <si>
    <t>5.2.2</t>
  </si>
  <si>
    <t>5.2.3</t>
  </si>
  <si>
    <t>7.1.1</t>
  </si>
  <si>
    <t>7.1.2</t>
  </si>
  <si>
    <t>7.2.1</t>
  </si>
  <si>
    <t>7.3.1</t>
  </si>
  <si>
    <t>8.4.1</t>
  </si>
  <si>
    <t>8.4.2</t>
  </si>
  <si>
    <t>8.5.1</t>
  </si>
  <si>
    <t>8.6.1</t>
  </si>
  <si>
    <t>8.6.2</t>
  </si>
  <si>
    <t>8.6.3</t>
  </si>
  <si>
    <t>8.7.1</t>
  </si>
  <si>
    <t>8.7.2</t>
  </si>
  <si>
    <t>6.2.3</t>
  </si>
  <si>
    <t>6.1.6</t>
  </si>
  <si>
    <t>11.1.1</t>
  </si>
  <si>
    <t>11.2.1</t>
  </si>
  <si>
    <t>11.3.1</t>
  </si>
  <si>
    <t>4.3.3</t>
  </si>
  <si>
    <t>4.3.4</t>
  </si>
  <si>
    <t>4.1.4</t>
  </si>
  <si>
    <t>CoE</t>
  </si>
  <si>
    <t>WB</t>
  </si>
  <si>
    <t>UNDP</t>
  </si>
  <si>
    <t xml:space="preserve"> 
   IPA            </t>
  </si>
  <si>
    <t>CoA</t>
  </si>
  <si>
    <t xml:space="preserve">UNDP  </t>
  </si>
  <si>
    <t>ASPA</t>
  </si>
  <si>
    <t>Innovation</t>
  </si>
  <si>
    <t>1.7.1</t>
  </si>
  <si>
    <t>1.7.2</t>
  </si>
  <si>
    <t>1.7.3</t>
  </si>
  <si>
    <t>3.1.7</t>
  </si>
  <si>
    <t>3.1.8</t>
  </si>
  <si>
    <t>3.1.9</t>
  </si>
  <si>
    <t>3.1.10</t>
  </si>
  <si>
    <t>3.4.5</t>
  </si>
  <si>
    <t>3.4.6</t>
  </si>
  <si>
    <t>3.3.5</t>
  </si>
  <si>
    <t>6.8.5</t>
  </si>
  <si>
    <t>Donors funds</t>
  </si>
  <si>
    <t>5.2.5</t>
  </si>
  <si>
    <t>6.5.1.1</t>
  </si>
  <si>
    <t>6.5.1.2</t>
  </si>
  <si>
    <t>EU (IPA)</t>
  </si>
  <si>
    <t>Expenses under the economic category "Wages and Salaries": (Code 600-601)</t>
  </si>
  <si>
    <t>Action</t>
  </si>
  <si>
    <t>Output indicators</t>
  </si>
  <si>
    <t>Activity with/without additional cost</t>
  </si>
  <si>
    <t xml:space="preserve">Salary fund for additional staff </t>
  </si>
  <si>
    <t>No</t>
  </si>
  <si>
    <t xml:space="preserve">Average salary  </t>
  </si>
  <si>
    <t>Month</t>
  </si>
  <si>
    <t xml:space="preserve">Total value </t>
  </si>
  <si>
    <t xml:space="preserve">Expenses for conferences/seminars and training   </t>
  </si>
  <si>
    <t>No. of training events/seminars</t>
  </si>
  <si>
    <t>Day/activity</t>
  </si>
  <si>
    <t>Participants in training</t>
  </si>
  <si>
    <t>Room rent/day</t>
  </si>
  <si>
    <t xml:space="preserve">Material value/person </t>
  </si>
  <si>
    <t>Total value</t>
  </si>
  <si>
    <t xml:space="preserve">Local expertise </t>
  </si>
  <si>
    <t xml:space="preserve">Foreign expertise </t>
  </si>
  <si>
    <t>Day/expert</t>
  </si>
  <si>
    <t xml:space="preserve">Public information expenses (publications)  </t>
  </si>
  <si>
    <t xml:space="preserve">Piece/activity </t>
  </si>
  <si>
    <t>Price/value per unit</t>
  </si>
  <si>
    <t xml:space="preserve">Computer software development </t>
  </si>
  <si>
    <t>Buildings</t>
  </si>
  <si>
    <t xml:space="preserve">Investments </t>
  </si>
  <si>
    <t>Computer hardware</t>
  </si>
  <si>
    <t xml:space="preserve">Piece </t>
  </si>
  <si>
    <t>Average price/unit</t>
  </si>
  <si>
    <t xml:space="preserve">Office supplies </t>
  </si>
  <si>
    <t>Piece</t>
  </si>
  <si>
    <t xml:space="preserve">Estimated cost of the output </t>
  </si>
  <si>
    <t xml:space="preserve">Other expenses </t>
  </si>
  <si>
    <t>Funding resources (by outputs)</t>
  </si>
  <si>
    <t>State budget (MTBP 2015-2017)</t>
  </si>
  <si>
    <t>Financial gap</t>
  </si>
  <si>
    <t xml:space="preserve">Objective 4: Strengthening the structures of public administration in order to improve service delivery to the public.
</t>
  </si>
  <si>
    <t>4.1. Conducting of a study to review the functions and internal organization of the institutions of administration at central and local level:</t>
  </si>
  <si>
    <t>4.2. Conducting of legal interventions in the constitutive acts of subordinate institutions and branches of ministries, review the organizational setups and job descriptions and location of new headquarters according to the territorial units.</t>
  </si>
  <si>
    <t xml:space="preserve">Objective 6: Improved capacities for the implementation of civil service legislation and facilitated enforcement procedures.
</t>
  </si>
  <si>
    <t>6.1. Evaluation of human resource capacities in charge of implementing the Civil Service Law in the newly incorporated institutions and capacity building to implement uniform procedures.</t>
  </si>
  <si>
    <t>Capacity building for planning of human resources in public administration institutions</t>
  </si>
  <si>
    <t>Capacity building of the Department of Public Administration to strategically lead the civil service reform:</t>
  </si>
  <si>
    <t xml:space="preserve"> Establishment of a system to create the databases with prepared questions and the use of electronic evaluation systems for the testing in the event of civil service recruitment procedures (2017)</t>
  </si>
  <si>
    <t xml:space="preserve"> Simplification and formatting of steps and processes related to human resources in public administration through the use of templates or standard forms (2017)</t>
  </si>
  <si>
    <t xml:space="preserve">Finalizing of the HRMIS  and execution of the implementation plan </t>
  </si>
  <si>
    <t xml:space="preserve">Objective 7: Organization of the civil service wage system based on job evaluation, on the evaluation of annual achievements of civil servants and on compulsory training outcomes. 
</t>
  </si>
  <si>
    <t xml:space="preserve"> Drafting of a strategic document on the wage system and the adoption of the new wage structure (2017)</t>
  </si>
  <si>
    <t>Adoption of new decisions on wages and implementation of the new structure. (2020)</t>
  </si>
  <si>
    <t>7.3. Review of the ratios between the maximum and minimum/average wage in public administration, in order to maintain an objective wage pyramid and motivation of managerial positions, as well as diversification of classification according to the job content.</t>
  </si>
  <si>
    <t>Study and analysis of the transfer of public functions towards the private market of services delivery.</t>
  </si>
  <si>
    <t>Evaluation (inventory) of new human resources units at national level.</t>
  </si>
  <si>
    <t xml:space="preserve">Establishment of a functional framework of the relations of ministries with the subordinated institutions.  </t>
  </si>
  <si>
    <t>Manual of procedures for the administrative processes and documents management system in line ministries (IPA A.1.5).</t>
  </si>
  <si>
    <t>Activity 1.5</t>
  </si>
  <si>
    <t xml:space="preserve">Review of the relevant legal framework. </t>
  </si>
  <si>
    <t>Functional review of institutions and adapting to the new territorial division.</t>
  </si>
  <si>
    <t>Twinning A.1.1.5</t>
  </si>
  <si>
    <t xml:space="preserve">The evaluation of the compliance of the new Civil Service Law regarding the current management and control structures.  </t>
  </si>
  <si>
    <t>Study of the structures' capacity   carried out by DoPA</t>
  </si>
  <si>
    <t>Without additional cost</t>
  </si>
  <si>
    <t>The methodology of long-term human resource planning.</t>
  </si>
  <si>
    <t>After the drafting of the methodology</t>
  </si>
  <si>
    <t>Training program specifically for long-term human resource planning.</t>
  </si>
  <si>
    <t>Training courses provided through the ASPA programs.</t>
  </si>
  <si>
    <t>The establishment of mechanisms to strengthen the cooperation between CSC and public administration institutions (IPA A.2.3).</t>
  </si>
  <si>
    <t>CSC capacity building (IPA A.2.4 partially).</t>
  </si>
  <si>
    <t>Questions Systems Tested</t>
  </si>
  <si>
    <t>Automatic Test System Developed (for 15 disciplines).</t>
  </si>
  <si>
    <t>Bank of Questions for the Conducted Testing (for 10 disciplines).</t>
  </si>
  <si>
    <t xml:space="preserve">Establishment of the platform of the  system. </t>
  </si>
  <si>
    <t>Evaluation study for 17 systems (2 local expert and 5 foreign experts).</t>
  </si>
  <si>
    <t>Training of the staff of ministries to use standard forms (4 trainings X 20 persons/training X 3 days training).</t>
  </si>
  <si>
    <t xml:space="preserve">Monitoring system developed </t>
  </si>
  <si>
    <t>Monitoring Reports published</t>
  </si>
  <si>
    <t>Adaptation and activation of modules and HRMIS interoperability  and rroll out.</t>
  </si>
  <si>
    <t>Training of 500 HRM staff (Total 20 trainings; 3 training days x 25 persons/training).</t>
  </si>
  <si>
    <t>System analysis of the functioning of HRMIS accomplished.</t>
  </si>
  <si>
    <t>System Maintenance (50 persons trained each 2 years - new HRM specialists).</t>
  </si>
  <si>
    <t>The establishment of system for professional advancement in Civil Service (IPA A.1.4).</t>
  </si>
  <si>
    <t>Evaluation study of the wage system</t>
  </si>
  <si>
    <t xml:space="preserve">Strategy draft drawn up. </t>
  </si>
  <si>
    <t xml:space="preserve">New wage structure adopted. </t>
  </si>
  <si>
    <t>The cost will be determined after completion of the study and approval of the new strategy.</t>
  </si>
  <si>
    <t>New classification of wages and amendment of the law on wage ratios.</t>
  </si>
  <si>
    <t>Different counseling services (Technical Assistance)</t>
  </si>
  <si>
    <t>Fee</t>
  </si>
  <si>
    <t>Cost for one person (coffee/catering)</t>
  </si>
  <si>
    <t xml:space="preserve">Average accommodation price/night </t>
  </si>
  <si>
    <t>Functioning of the Civil Service Commissioner</t>
  </si>
  <si>
    <t xml:space="preserve"> Every year  publication in DoPA's  website  of the set of indicators related to human resource management in the civil service. (Each year, starting from 2015) </t>
  </si>
  <si>
    <t>Table 1: Calculation Estimate of the Cost of the Cross-cutting Public Administration Reform Strategy - ASPA</t>
  </si>
  <si>
    <t>The objective and the goal of the Strategy</t>
  </si>
  <si>
    <t>No.</t>
  </si>
  <si>
    <t>Trainer fee/day</t>
  </si>
  <si>
    <t xml:space="preserve">Investments  </t>
  </si>
  <si>
    <t>Building</t>
  </si>
  <si>
    <t>average price/unit</t>
  </si>
  <si>
    <t xml:space="preserve">Funding resources (by outputs) </t>
  </si>
  <si>
    <t xml:space="preserve">Budget allocation over years </t>
  </si>
  <si>
    <t>Estimated cost of the activity</t>
  </si>
  <si>
    <t>State budget (MTBP 2015-2017</t>
  </si>
  <si>
    <t xml:space="preserve">Provision of training in order to meet growing demands of experts for training generated by the candidate country status as received by Albania. </t>
  </si>
  <si>
    <t xml:space="preserve">Updating and development of a series of units and program activities that reflect the changing demands and needs of the Law on the Civil Servant. </t>
  </si>
  <si>
    <t xml:space="preserve">Identification in a regular manner of the training needs through  of training needs analysis.  </t>
  </si>
  <si>
    <t xml:space="preserve"> Increasing the number of training programs in the field of European Integration.  </t>
  </si>
  <si>
    <t xml:space="preserve">Updating and development of the  specialized trainers group - This will be achieved through continuous updating of the database of potential experts and through professional development program in the workplace. </t>
  </si>
  <si>
    <t xml:space="preserve">The accomplishment of the model of lifelong professional development within the civil service. </t>
  </si>
  <si>
    <t>The curriculum (basic and specialized courses) is drafted and is approved with the program objectives, educational objectives and evaluation criteria.</t>
  </si>
  <si>
    <t>Courses are performed as per the need</t>
  </si>
  <si>
    <t xml:space="preserve">Specific training needs and target groups are identified </t>
  </si>
  <si>
    <t>Change of percentage, which the programs with  EU content occupy, from 35% to 50% from 2015 to 2020.</t>
  </si>
  <si>
    <t>Database prepared and fully operational</t>
  </si>
  <si>
    <t>The development program has been drafted within the institution.</t>
  </si>
  <si>
    <t xml:space="preserve">The development program is implemented in, at least, 5 institutions. </t>
  </si>
  <si>
    <t xml:space="preserve">Response to the constantly growing needs of the Albanian Civil Service for training. Increasing the number of civil servants is a factor that will have an impact on demands for training within the Civil Service. . </t>
  </si>
  <si>
    <t>Compulsory training plans during the probation.</t>
  </si>
  <si>
    <t xml:space="preserve">Drafting of annual plans for the training of the medium and top level managers - based on the model of leadership. </t>
  </si>
  <si>
    <t xml:space="preserve">Evaluation of alternative approaches with regard to the training of managers including also the competency-based approach. </t>
  </si>
  <si>
    <t>Development of the e-learning and e - training platform and drafting of programs using this platform.</t>
  </si>
  <si>
    <t>The  plan and schedule of compulsory training for the probation according to the occupations in CS is drafted.</t>
  </si>
  <si>
    <t>Civil servants are trained and tested on probation in the central administration</t>
  </si>
  <si>
    <t>Civil servants are trained and tested on probation in the local administration</t>
  </si>
  <si>
    <t>The annual training plan for top level managers (TMC) is drafted.</t>
  </si>
  <si>
    <t xml:space="preserve">Training courses have been drafted for the TMC </t>
  </si>
  <si>
    <t xml:space="preserve">Training courses for mid level managers have been drafted.  </t>
  </si>
  <si>
    <t>Researches on alternative approaches</t>
  </si>
  <si>
    <t>Conducting of study tours in ministries, 3 institutions/schools (3 visits, 2 persons, 5 days)</t>
  </si>
  <si>
    <t>Conducting of the feasibility study for the implementation of the platform</t>
  </si>
  <si>
    <t>Development of the platform in ASPA and piloting of 3 training courses</t>
  </si>
  <si>
    <t>Performing of 30% of the training curriculum through e-learning platform</t>
  </si>
  <si>
    <t xml:space="preserve">Updating the database of ASPA "customers" </t>
  </si>
  <si>
    <t>Additional cost</t>
  </si>
  <si>
    <t>Travelling to be estimated</t>
  </si>
  <si>
    <t xml:space="preserve">The transition from a culture of control of resources in the Civil Service to the modern model of the delivery of a customer demand oriented  service. </t>
  </si>
  <si>
    <t xml:space="preserve">Establishment of groups, which receive the service (User Groups) and/or focus group in order to provide feedback on the quality and usefulness of services provided by the ASPA. </t>
  </si>
  <si>
    <t xml:space="preserve">Improvement of the feedback system in general in order to provide sufficient data and available information  concerning training impact. </t>
  </si>
  <si>
    <t>Discussion groups have been established with human resources directors of ministries and central administration institutions.</t>
  </si>
  <si>
    <t xml:space="preserve">Discussion groups have been established with the directors of human resources local administration and independent institutions. </t>
  </si>
  <si>
    <t>Procedures and regulations are reviewed and adjusted in accordance with the customer based model</t>
  </si>
  <si>
    <t xml:space="preserve">The methodology and questionnaires to measure the training impact are drafted. </t>
  </si>
  <si>
    <t>Customer satisfaction objectives for all training courses are defined.</t>
  </si>
  <si>
    <t>Independent and objective evaluations  are performed periodically (not less than one in two years).</t>
  </si>
  <si>
    <t>Transformation into the center of excellence for  the civil service and the public sector training, at a national and international level.</t>
  </si>
  <si>
    <t>Establishment of contacts with professional agencies and quality control agencies for education/training.</t>
  </si>
  <si>
    <t>Development of systems and procedures that meet quality control standards set by the control agencies of education/training</t>
  </si>
  <si>
    <t xml:space="preserve">Work towards achieving the status of center of excellence at national and international level. </t>
  </si>
  <si>
    <t>Research has been conducted and membership in, at least, two international networks has been achieved.</t>
  </si>
  <si>
    <t>International activities and conferences have been attended</t>
  </si>
  <si>
    <t xml:space="preserve">Systems and quality control procedures set by agencies and national and international universities have been prepared. </t>
  </si>
  <si>
    <t>Memorandum of Understanding and accreditation agreement have been reached.</t>
  </si>
  <si>
    <t>National and international accreditation is achieved.</t>
  </si>
  <si>
    <t xml:space="preserve">Building internal capacities, skills and management of ASPA resources.  </t>
  </si>
  <si>
    <t xml:space="preserve">The development of such systems, which ensure that all resources are managed effectively and efficiently with minimal cost. </t>
  </si>
  <si>
    <t xml:space="preserve">Development of a modern system for managing the database under the frame of HRMIS. </t>
  </si>
  <si>
    <t xml:space="preserve">Development of the ASPA library and going towards the establishment of an information management center. </t>
  </si>
  <si>
    <t>Ensure that ASPA facilities  are in a building that is suitable for its purpose.</t>
  </si>
  <si>
    <t>Assessment of the current situation by relating it to the Business Plan and to a selected model for the analysis of the organization.</t>
  </si>
  <si>
    <t>Defining of the managerial cycle to be repeated at least every year.</t>
  </si>
  <si>
    <t>Modern  of information management system has been created.</t>
  </si>
  <si>
    <t>ASPA library has expanded and it has turned into a management information center.</t>
  </si>
  <si>
    <t>Necessary computer equipment and materials have been purchased  to develop the management information center</t>
  </si>
  <si>
    <t>Complete reconstruction has been carried out and it has been provided with the necessary equipments to conduct activities.</t>
  </si>
  <si>
    <t xml:space="preserve">Accreditation fee </t>
  </si>
  <si>
    <t>Table 1: Calculation Estimate of the Cost of the Cross-cutting Public Administration Reform Strategy - Policymaking, Monitoring &amp; Legislation</t>
  </si>
  <si>
    <t>Cost for one person (coffe/catering)</t>
  </si>
  <si>
    <t xml:space="preserve">Average accomodation price/night </t>
  </si>
  <si>
    <t xml:space="preserve">Expenses for supplies and services  </t>
  </si>
  <si>
    <t xml:space="preserve">Public information expenses (publications)   </t>
  </si>
  <si>
    <t xml:space="preserve">Buildings </t>
  </si>
  <si>
    <t xml:space="preserve">Other expenses (incidentals &amp; contingency) </t>
  </si>
  <si>
    <t xml:space="preserve">Donations </t>
  </si>
  <si>
    <t>Objective 1 - Improved planning and coordination policies to draft government strategic documents, which turn priorities into concrete actions.</t>
  </si>
  <si>
    <t>1.1.Evaluation of the current situation and regulatory framework for drafting sector and cross-cutting strategies in addition to capacities of stakeholders involved in the process (Central Units of the Office of the Prime Minister and the units of central institutions).</t>
  </si>
  <si>
    <t>Analysis of the situation evaluation</t>
  </si>
  <si>
    <t>Reviewed regulatory framework for sector and crosscutting strategies (Review of the Order on drafting sector and crosscutting strategies)</t>
  </si>
  <si>
    <t>Reviewing the functioning of other cross-cutting groups within the IMPG (Integrated Management Policy Groups) (including all the cycle of policy programming   - implementation - monitoring)</t>
  </si>
  <si>
    <t>Assistance for the operation of IPMG pilot (water, social, competitiveness)</t>
  </si>
  <si>
    <t>Assistance for the operation of other IPMGs</t>
  </si>
  <si>
    <t xml:space="preserve">Drafting of a training program for all  policymaking staff of line ministries (policy and coordination departments) for drafting of strategic documents and policies. </t>
  </si>
  <si>
    <t>Implementation of the Training Program for all policymaking staff of the line ministries (policies and coordination departments)</t>
  </si>
  <si>
    <t xml:space="preserve">Drafting of cross-cutting strategies and documents </t>
  </si>
  <si>
    <t>Drafting of Integrated Management Plans (IMP) of line ministries</t>
  </si>
  <si>
    <t>Publication of IMPs</t>
  </si>
  <si>
    <t xml:space="preserve">Technical assistance  </t>
  </si>
  <si>
    <t xml:space="preserve">Technical assistance </t>
  </si>
  <si>
    <t xml:space="preserve">At least 10 strategic documents </t>
  </si>
  <si>
    <t>for 19 ministries</t>
  </si>
  <si>
    <t>Preparation of the regulatory framework for drafting sector and cross-cutting strategies and sectoral strategic documents 2015-2020, in the frame of the NSDI 2015-2020.</t>
  </si>
  <si>
    <t>Drafting of sectoral and cross-cutting analysis for the mid-term implementation (stage 2014/15-2016)</t>
  </si>
  <si>
    <t xml:space="preserve">Mid-term analysis of the implementation of the NSDI 2014-2020 </t>
  </si>
  <si>
    <t>Mid-term review of strategies and strategic documents and NSDI 2014-2020</t>
  </si>
  <si>
    <t xml:space="preserve">Reviewing of the relevant institutional and legal framework (drafting of a new Order, IPS Manual, Review of Annual Calendar of IPS) </t>
  </si>
  <si>
    <t>Implementation of the new system and capacity building</t>
  </si>
  <si>
    <t xml:space="preserve">Recruited staff </t>
  </si>
  <si>
    <t>Training and seminars with the staff of the Department of Developmnet Programming, Financing and Foreign Aid.</t>
  </si>
  <si>
    <t>Study tours to get practices and experiences from other countries.</t>
  </si>
  <si>
    <t>1.3. Reviewing of the Integrated Planning System after having carried out an analysis of the situation evaluation  and  of the existing institutional framework.</t>
  </si>
  <si>
    <t>1.4. Capacity building of the Department of Development Programming, Financing and Foreign Aid in regard to strategic planning and public policy planning based on the realized training needs assessment.</t>
  </si>
  <si>
    <t>ToT. 2 training per year</t>
  </si>
  <si>
    <t>Budgeting of this activity is in the frame of the PFM strategy</t>
  </si>
  <si>
    <t>Establishment of IPSIS</t>
  </si>
  <si>
    <t>1.5.Capacity building of central institutions, after assessing the needs in relation to strategic planning and public policy planning (as well as the use of IPSIS and IPSIS Information System).</t>
  </si>
  <si>
    <t>Training the staff of the central institutions in connection with the management and maintenance of IPSIS.</t>
  </si>
  <si>
    <t>1.6. Establishing of the AFMIS (Albanian Finance Management Information System) system and capacity building for financial control management.</t>
  </si>
  <si>
    <t>Capacity building of institutions in relation to the use of AFMIS, as well as drafting of the relevant monitoring reports.</t>
  </si>
  <si>
    <t xml:space="preserve">Capacity building of the MoF for the management of AFMIS. </t>
  </si>
  <si>
    <t>1.6. Capacity building of the central administration in relation to drafting the MTBP (Medium Term Budget Program).</t>
  </si>
  <si>
    <t xml:space="preserve">Capacity building of institutions in connection with Medium Term Budget Program. </t>
  </si>
  <si>
    <t>Capacity building of line ministries in terms of drafting policies, strategies, action plans and development programs.</t>
  </si>
  <si>
    <t xml:space="preserve">Capacity building for the line ministries, through the implementation of the Training Program for Strategic Planning.  </t>
  </si>
  <si>
    <t xml:space="preserve">Human capacity building of SPU to ensure proper leadership and guidance for the drafting and monitoring of strategic documents. </t>
  </si>
  <si>
    <t>Evaluation of the situation n terms of the functioning of SMGs</t>
  </si>
  <si>
    <t>1.9.Capacity building and better functioning of the Strategic Management Group as a coordination structure within each ministry and Cross-sector Groups in the frame of Integrated Groups of Policy Management.</t>
  </si>
  <si>
    <t>Amendment of the appropriate legal and institutional framework for the functioning of the Strategic Management Groups - SMGs.</t>
  </si>
  <si>
    <t xml:space="preserve">Drafting of the training program for top level managers in relation to the cycle of public policy management. </t>
  </si>
  <si>
    <t xml:space="preserve">Capacity building of top level managers of the line ministries through the implementation of the training program for the cycle of public policy management.  </t>
  </si>
  <si>
    <t>Objective 2: Transparent and all-inclusive system of drafting laws, which is based on the policies and, which ensures alignment with the acquis communautaire.</t>
  </si>
  <si>
    <t>2.1.Evaluation of situation regarding the current challenges of the legislative drafting system:</t>
  </si>
  <si>
    <t>Drafted analysis of the situation evaluation</t>
  </si>
  <si>
    <t>Legislative package on drafting legislation (draft laws and bylaws)</t>
  </si>
  <si>
    <t xml:space="preserve">Drafting of a work manual/protocol for the the consultation of the acts. </t>
  </si>
  <si>
    <t>Drafting of clear job descriptions.</t>
  </si>
  <si>
    <t>Analysis of the current situation of persons under the criteria of employment, organization charts and their job descriptions.</t>
  </si>
  <si>
    <t>2.2. Strengthening the implementation of legislative drafting manual by bringing it up to the level of the Council of Ministers decision to ensure its implementation.</t>
  </si>
  <si>
    <t xml:space="preserve">Stricter criteria for positions that engage in lawmaking process. </t>
  </si>
  <si>
    <t>8.3. Organization of a study on the possibilities of direct delivery of services:</t>
  </si>
  <si>
    <t xml:space="preserve">Adoption of bylaws to facilitate the consultation procedure. </t>
  </si>
  <si>
    <t xml:space="preserve"> Establishment of a stakeholders' database </t>
  </si>
  <si>
    <t>Drafting of a work manual/protocol for the consultation of acts</t>
  </si>
  <si>
    <t>Supplementing with bylaws and ensuring the implementation of the Law on public notification and consultation:</t>
  </si>
  <si>
    <t>Training of persons responsible for consultations.</t>
  </si>
  <si>
    <t xml:space="preserve">  RIA  - Act adopted for the obligation of mentioned analysis.</t>
  </si>
  <si>
    <t>Improvement of procedure for conducting expected impact assessments and evaluations of the compliance with the Acquis, as well as linking the regulatory acts with the policies in the country:</t>
  </si>
  <si>
    <t xml:space="preserve">and carried out/tested X RIA under the adopted act (pilot in X institutions for X issues). </t>
  </si>
  <si>
    <t>Capacity building of units dealing with drafting of legislation and copacity buildig of central monitoring units:</t>
  </si>
  <si>
    <t xml:space="preserve">Training for independent institutions for drafting laws </t>
  </si>
  <si>
    <t>Training for central units for drafting laws</t>
  </si>
  <si>
    <t>Training for line ministries for drafting laws</t>
  </si>
  <si>
    <t>Training through ASPA</t>
  </si>
  <si>
    <t>Enhancement of the legislation publication transparency:</t>
  </si>
  <si>
    <t xml:space="preserve">Each institution will have posted in their website by 2015 the consolidated acts. </t>
  </si>
  <si>
    <t xml:space="preserve">Local Technical Assistance for entering the acts in 19 ministries (2 legal expert for each ministry).  </t>
  </si>
  <si>
    <t xml:space="preserve">No cost </t>
  </si>
  <si>
    <t>Total Objective 2</t>
  </si>
  <si>
    <t>Objective 3: Building of an effective monitoring and evaluation system of strategies, programs and legal framework in force, based on the following: 1) collection of data through a neutral and transparent process for drafting and implementation of strategies, programs and legislation, and 2) drafting of analysis to evaluate the effects generated by the implementation.</t>
  </si>
  <si>
    <t xml:space="preserve"> Evaluation of the current situation regarding the monitoring and evaluation system used by the government, including the institution in charge of these functions, human resources available and the needs for capacity building, the methodology used and the regulatory framework in force.</t>
  </si>
  <si>
    <t xml:space="preserve">Analysis of the evaluation of the current situation regarding the monitoring of sector and cross-cutting strategies  </t>
  </si>
  <si>
    <t>Reviewing of the legal basis related to the monitoring of sector/cross-cutting strategies</t>
  </si>
  <si>
    <t>Analysis of the evaluation of the current situation of M&amp;E (structures and human resources)</t>
  </si>
  <si>
    <t xml:space="preserve">Analysis of the evaluation of the current legal framework and methodology for M &amp; E </t>
  </si>
  <si>
    <t xml:space="preserve">Analysis of training needs assessment for the structures of M &amp; E. </t>
  </si>
  <si>
    <t xml:space="preserve">Training of the staff of the Monitoring Units of the Office of the Prime Minister and line ministries </t>
  </si>
  <si>
    <t xml:space="preserve">Publication of annual reports of the line ministries for the implementation of the respective sector/crosscutting strategies), the NSDI, as well as of the DPPFFA. </t>
  </si>
  <si>
    <t>19 line ministries + CoM. 2 days/ministry. 5 days for writing the analysis + 2 days adding the comments + 6(3+3) days reporting.  (approx. 60 work days for a foreign expert)</t>
  </si>
  <si>
    <t>1 foreign expert + 1 local</t>
  </si>
  <si>
    <t xml:space="preserve">19 line ministries + CoM. 1.5 days/ministry. 5 days for writing the analysis + 2 days adding the comments + 10 days training curricula + 3 days reporting.  (approx. 45 work days for a foreign expert) </t>
  </si>
  <si>
    <t>This activity may be costed only after the completion of the TNA</t>
  </si>
  <si>
    <t>Building and strengthening monitoring and evaluation system of the Albanian Government, through the reformation of the regulatory framework in force, functional review of units responsible for monitoring and evaluation in central institutions and capacity building of staff in these institutions, but also in the central monitoring units in the Office of the Prime Minister by establishing an efficient monitoring and evaluation network.</t>
  </si>
  <si>
    <t>Reviewing the structures of ministries in view of the implementation of the M &amp; E system</t>
  </si>
  <si>
    <t xml:space="preserve">Establishment of M &amp; E network and capacity building (training ) </t>
  </si>
  <si>
    <t xml:space="preserve">Drafting of the new legal framework on monitoring and evaluation system. </t>
  </si>
  <si>
    <t>Training depending on the TNA</t>
  </si>
  <si>
    <t>Drafting of the monitoring and evaluation methodology:</t>
  </si>
  <si>
    <t>Using of the electronic monitoring systems by the government institutions:</t>
  </si>
  <si>
    <t xml:space="preserve">Total Objective 3 </t>
  </si>
  <si>
    <t>Manual for monitoring the sector/cross-cutting strategies (EMP) and Training Manual for the administration (ToT)</t>
  </si>
  <si>
    <t xml:space="preserve">Capacity building of DPPFFA regarding the drafting of the annual summary reports on the implementation of the strategic framework (ToT) </t>
  </si>
  <si>
    <t xml:space="preserve">Capacity building of line ministry for drafting EMP reports </t>
  </si>
  <si>
    <t xml:space="preserve">Drafting of the Monitoring and Evaluation methodology for the Government Program  </t>
  </si>
  <si>
    <t>Drafting of the Monitoring and Evaluation methodology  for the implementation of laws</t>
  </si>
  <si>
    <t>The electronic system for monitoring the implementation of the Government Program</t>
  </si>
  <si>
    <t>The electronic system for monitoring the flow of information and correspondence</t>
  </si>
  <si>
    <t xml:space="preserve">E-acts system (the system of monitoring the process of drafting the legislation) </t>
  </si>
  <si>
    <t xml:space="preserve">The integrated electronic monitoring system "The watchtower". </t>
  </si>
  <si>
    <t>NAIS</t>
  </si>
  <si>
    <t>1 foreign  expert</t>
  </si>
  <si>
    <t>Obligation (Instruction) of the Official Publication Center for the publication of consolidated acts.</t>
  </si>
  <si>
    <t>Analysis document  on the understanding of the estimates of the impact of acts.</t>
  </si>
  <si>
    <t>Analysisi of the situation evaluation.</t>
  </si>
  <si>
    <t xml:space="preserve">Corresponding with the new numbers of the Cross-cutting Public Administration Reform Strategy activities </t>
  </si>
  <si>
    <t>Activities with/without additional cost</t>
  </si>
  <si>
    <t xml:space="preserve">Expenses for supplies and services </t>
  </si>
  <si>
    <t>Donations</t>
  </si>
  <si>
    <t>Objective 5: Improved and concentrated public services by reducing the causes of corruption and strengthening a civic based ethic for public service delivery.</t>
  </si>
  <si>
    <t>Establishment of service delivery centers as one-stop-shops:</t>
  </si>
  <si>
    <t>The strategy for the public service delivery</t>
  </si>
  <si>
    <t>Establishment of ADISA and opening  of 4 pilot centers</t>
  </si>
  <si>
    <t>Establishment of the physical infrastructure of the One-Stop Shop and and its functioning</t>
  </si>
  <si>
    <t>Changing of the administrative structures based on the Study for the Re-organization of the Public Institutions</t>
  </si>
  <si>
    <t>Adjusting the setup of institutions, which provide public services, under the one-stop shop model:</t>
  </si>
  <si>
    <t>Changing of the administrative structures based on the Study for the Re-organization of the Public Institutions.</t>
  </si>
  <si>
    <t>Objective 8: Simplified procedure for the provision of services by facilitating communication with the public and avoiding corruption.</t>
  </si>
  <si>
    <t>Re-engineering of public services - Identification, Assessment and Defining of Standard Procedures for 300+ public services</t>
  </si>
  <si>
    <t>Manuals for the regulation of service procedures are drafted;</t>
  </si>
  <si>
    <t>Re-engineering of public services, as a necessary measure for simplifying administrative procedures and reducing the number of steps taken by citizens and support staff:</t>
  </si>
  <si>
    <t>Re-organization of services to be provided in one-stop-shops by organizing the relations between one-stop-shop  and the back-up office.</t>
  </si>
  <si>
    <t>Feasibility Study for the model of citizen-centered services.</t>
  </si>
  <si>
    <t>Conducting of the Study for Re-organization of the Public Institutions.</t>
  </si>
  <si>
    <t>Relieving public administration institutions from the function of direct service delivery.</t>
  </si>
  <si>
    <t>Reviewing in general of the legislation governing the provision of public services in order to reflect the re-engineering of business processes in the regulatory framework:</t>
  </si>
  <si>
    <t>Completion of the Study for consolidation of the initial situation analysis (baseline).</t>
  </si>
  <si>
    <t>Identification of the macro areas that require changes (Legal Gap Analyses).</t>
  </si>
  <si>
    <t>Drafting of manuals and standard forms to provide the service in an unified and codified manner.</t>
  </si>
  <si>
    <t>Unified and codified service forms  (300 unified services fully codified by 2015, all services in 2017).</t>
  </si>
  <si>
    <t>Proposals for  Legal/Administrative changes.</t>
  </si>
  <si>
    <t>Approval of amendments to the legal framework</t>
  </si>
  <si>
    <t>Ensuring the legal value of printed e-documents.</t>
  </si>
  <si>
    <t>Institutional/administrative changes completed.</t>
  </si>
  <si>
    <t>300 persons</t>
  </si>
  <si>
    <t>Capacity building and enhancement of the staff involved in the re-engineering of processes and in the provision of public services.</t>
  </si>
  <si>
    <t>Drafting of training programs.</t>
  </si>
  <si>
    <t xml:space="preserve"> General training courses  (2017)</t>
  </si>
  <si>
    <t>Objective 9: Developing an ICT infrastructure capable of supporting the daily activities of public administration and efficiency increase by reducing the time to access, process and transmit information while improving the flow of information.</t>
  </si>
  <si>
    <t>9.1. Digitization of main registers.</t>
  </si>
  <si>
    <t>Study on the analysis of the situation of the main registers condition</t>
  </si>
  <si>
    <t xml:space="preserve"> 9.2. Development and use of an integrated ICT (based on the requirements of the services re-engineering process);</t>
  </si>
  <si>
    <t>Drafting of an integrated ICT system (based on the requirements of the services re-engineering process);</t>
  </si>
  <si>
    <t xml:space="preserve">Development and consolidation of the system; Documents for users training; </t>
  </si>
  <si>
    <t>Training courses for ICTand systems users (2017)</t>
  </si>
  <si>
    <t>9.3. Creating a mechanism for the citizens who will monitor the quality of service to provide their opinion through direct contact via SMS only for recipients of service:</t>
  </si>
  <si>
    <t xml:space="preserve">Development of a system, which reports the reactions of citizens and tracks complaints for all categories of services provided by the government.  </t>
  </si>
  <si>
    <t>Total according to MIPA estimation</t>
  </si>
  <si>
    <t>Salaries</t>
  </si>
  <si>
    <t>Maintenance</t>
  </si>
  <si>
    <t>Difference</t>
  </si>
  <si>
    <t>Cross-cutting Public Administration Reform Strategy - Costing table of activities related to decentralization</t>
  </si>
  <si>
    <t>CoE+other donors</t>
  </si>
  <si>
    <t xml:space="preserve">Objective 4: Strengthening the structures of public administration in order to improve service delivery to the public.
</t>
  </si>
  <si>
    <t>Methodological support for the organization and operation of new administrative units of the country and capacity building regarding implementation.</t>
  </si>
  <si>
    <t>Drafting of the list of LGU-s' functions, structural model of the organization of municipalities, the classification of job positions and implementation of training program for the LGU-s (IPA A 1.6)</t>
  </si>
  <si>
    <t>61 new LGUs x 3 staff=180 persons to be trained.</t>
  </si>
  <si>
    <t xml:space="preserve">Designing of the model of the new setup of LGUs and assistance for the establishment of new setups (hands on Assistance).
</t>
  </si>
  <si>
    <t>CoE in total 250,000</t>
  </si>
  <si>
    <t>Capacity building for human resources management units of the new municipalities (15,000 Euro).</t>
  </si>
  <si>
    <t>61 municipalities x 2 persons in each municipality = 122 persons in total</t>
  </si>
  <si>
    <t>Standardization of HR management process in all LGUs (IPA A 1.2)</t>
  </si>
  <si>
    <t xml:space="preserve">Objective 5: Improved and concentrated public services by reducing the causes of corruption and strengthening a civic based ethic for public service delivery.
</t>
  </si>
  <si>
    <t xml:space="preserve">Establishment of "one-stop-shops" for administrative services at local level. </t>
  </si>
  <si>
    <t>61 municipalities, 322 local units.</t>
  </si>
  <si>
    <t xml:space="preserve">Systematic use of the evaluation of corruptive opportunities of legislation (Corruption proofing). </t>
  </si>
  <si>
    <t>Integration of the manual for corruption proofing.</t>
  </si>
  <si>
    <t>Drafting of the methodology for reviewing the laws in terms of legal spaces, which allow opportunities for corruption.</t>
  </si>
  <si>
    <t>Manual and study tour for 8 people and training for about 20 ministries + Parliament + Offise of the President (total about 45).</t>
  </si>
  <si>
    <t xml:space="preserve"> Objective 6: Improved capacities for the implementation of civil service legislation and facilitated enforcement procedures.
</t>
  </si>
  <si>
    <t xml:space="preserve">Systematic use  of integrity testing procedures (Integrity testing).  </t>
  </si>
  <si>
    <t xml:space="preserve">Reviewing of the admission test during recruitment in regard to incorporation of specific questions regarding the integrity evaluation. </t>
  </si>
  <si>
    <t>No cost (to be included in the cost of testing)</t>
  </si>
  <si>
    <t xml:space="preserve">No cost  </t>
  </si>
  <si>
    <t>Evaluation of integrity during annual performance appraisal.</t>
  </si>
  <si>
    <t>Objective 10: Enhancement of the efficiency and accountability of public officials.</t>
  </si>
  <si>
    <t>Drafting of a broad program of training on the new Administrative Procedure Code:</t>
  </si>
  <si>
    <t>Implementation of the capacity building program for the line ministries and LGUs regarding the implementation of the  Civil Procedure Code (IPA A.1.1)</t>
  </si>
  <si>
    <t>10.2. Application of delegation in institutions, as a measure to increase the accountability of civil servants:</t>
  </si>
  <si>
    <t>Development of the pilot projects for delegating decision making.</t>
  </si>
  <si>
    <t>Extending the delation process to the entire public administration.</t>
  </si>
  <si>
    <t>The real cost estimate will come out after the completion of the pilot projects. The set cost is merely indicative.</t>
  </si>
  <si>
    <t xml:space="preserve">Objective 11: Enhancement of control over the activities of public administration, guaranteeing the rights of citizens and access to information. </t>
  </si>
  <si>
    <t>Implementation of the institutional transparency program by public authorities.</t>
  </si>
  <si>
    <t>The use of ICT to enhance the transparency of administration activities.</t>
  </si>
  <si>
    <t>The development of an evaluation mechanism to monitor the coherent and consistent implementation of standards in public administration.</t>
  </si>
  <si>
    <t>Development of standards enforcement monitoring program (IPA A.2.1)</t>
  </si>
  <si>
    <t>NO COST</t>
  </si>
  <si>
    <t>Actions</t>
  </si>
  <si>
    <t>Activities/Indicators</t>
  </si>
  <si>
    <t>Clarifications</t>
  </si>
  <si>
    <t>Estimated cost of outputs</t>
  </si>
  <si>
    <t>Donors (CoE+)</t>
  </si>
  <si>
    <t>Evaluation of the current situation and regulatory framework for drafting sector and cross-cutting strategies in addition to capacities of stakeholders involved in the process (Central Units of the Office of the Prime Minister and the units of central institutions).</t>
  </si>
  <si>
    <t>Drafting of regulatory framework to draw up sector and crosscutting strategies and sector strategic documents 2015-2020, in the frame of the National Strategy for Development and Integration 2015-2020.</t>
  </si>
  <si>
    <t>Capacity building of the Department of Development Programming, Financing and Foreign Aid in regard to strategic planning and public policy planning based on the realized training needs assessment.</t>
  </si>
  <si>
    <t>Capacity building of central institutions, after assessing the needs in relation to strategic planning and public policy planning (as well as the use of IPSIS and IPSIS Information System).</t>
  </si>
  <si>
    <t xml:space="preserve">AFMIS value is not included, because it is included in the PFM Strategy as a budgeted activity. </t>
  </si>
  <si>
    <t>Capacity building of the central administration in relation to drafting the MTBP (Medium Term Budget Plan).</t>
  </si>
  <si>
    <t>Capacity building and better functioning of the Strategic Management Group as a coordination structure within each ministry.</t>
  </si>
  <si>
    <t>Total cost of Objective 1</t>
  </si>
  <si>
    <t xml:space="preserve"> Evaluation of situation regarding the current challenges of the legislative drafting system.</t>
  </si>
  <si>
    <t>Drafting of manuals regarding legislative technique when drafting legislative and regulatory acts and the manual for drafting legal acts.</t>
  </si>
  <si>
    <t>Supplementing with bylaws and ensuring the implementation of the Law on public notification and consultation.</t>
  </si>
  <si>
    <t>Improvement of procedure for conducting expected impact assessments and evaluations of the compliance with the Acquis, as well as linking the regulatory acts with the policies in the country.</t>
  </si>
  <si>
    <t>Capacity building of units dealing with drafting legislation and central monitoring units.</t>
  </si>
  <si>
    <t>Enhancement of the legislation publication transparency.</t>
  </si>
  <si>
    <t>Total cost of Objective 2</t>
  </si>
  <si>
    <t>Evaluation of the current situation regarding the monitoring and evaluation system used by the government, including the institution in charge of these functions, human resources available and the needs for capacity building, the methodology used and the regulatory framework in force.</t>
  </si>
  <si>
    <t>Drafting of the monitoring and evaluation methodology.</t>
  </si>
  <si>
    <t>Using of the electronic monitoring systems by the government institutions.</t>
  </si>
  <si>
    <t>Total cost of Objective 3</t>
  </si>
  <si>
    <t>Objective 4: Strengthening the structures of public administration in order to improve service delivery to the public.</t>
  </si>
  <si>
    <t>Conducting of a study to review the functions and internal organization of the institutions of administration at central and local level.</t>
  </si>
  <si>
    <t>Conducting of legal interventions in the constitutive acts of subordinate institutions and branches of ministries, review the organizational setups and job descriptions and location of new headquarters according to the territorial units.</t>
  </si>
  <si>
    <t>Total cost of Objective 4</t>
  </si>
  <si>
    <t>Establishment of service delivery centers as one-stop-shops.</t>
  </si>
  <si>
    <t>Total cost of Objective 5</t>
  </si>
  <si>
    <t>Objective 6: Improved capacities for the implementation of civil service legislation and facilitated enforcement procedures.</t>
  </si>
  <si>
    <t>Capacity building of the Department of Public Administration to strategically lead the civil service reform.</t>
  </si>
  <si>
    <t>The cost of this activity will be determined upon completion of 6.2.2</t>
  </si>
  <si>
    <t>The cost of this activity will be determined upon completion of 6.2.3</t>
  </si>
  <si>
    <t>Functioning of the Civil Service Commissioner.</t>
  </si>
  <si>
    <t>Creation of databases with prepared questions and the use of electronic evaluation systems in the event of recruitment.</t>
  </si>
  <si>
    <t xml:space="preserve">Systematic use  of integrity testing procedures (Integrity testing). </t>
  </si>
  <si>
    <t>Simplification and formatting of steps and processes related to human resources in public administration through the use of templates or standard forms.</t>
  </si>
  <si>
    <t>Drafting of a set of indicators to monitor civil service reform and regular publication.</t>
  </si>
  <si>
    <t>Setting of the Human Resource Management Information System into full operation and its wide scale use by institutions.</t>
  </si>
  <si>
    <t>Creating conditions and procedures for implementing the transparency and objectivity of career promotion in the civil service.</t>
  </si>
  <si>
    <t>Continuous strengthening of the Albanian School of Public Administration as a provider of training for civil service and conducting of studies and research in the field of public administration.</t>
  </si>
  <si>
    <t>Total cost of Objective 6</t>
  </si>
  <si>
    <t>Objective 7: Organization of the civil service wage system based on job evaluation, on the evaluation of annual achievements of civil servants and on compulsory training outcomes.</t>
  </si>
  <si>
    <t>Drafting and adoption of a strategic document on the payroll system and the adoption of the new wage structure.</t>
  </si>
  <si>
    <t>Adoption of new decisions on wages and implementation of the new structure.</t>
  </si>
  <si>
    <t>The cost of this activity may be determined upon completion of  7.1.1 and 7.3.1</t>
  </si>
  <si>
    <t>Review of the ratios between the maximum and minimum/average wage in public administration, in order to maintain an objective wage pyramid and motivation of managerial positions, as well as diversification of classification according to the job content.</t>
  </si>
  <si>
    <t>Total cost of Objective 7</t>
  </si>
  <si>
    <t>Re-engineering of public services, as a necessary measure for simplifying administrative procedures and reducing the number of steps taken by citizens and support staff.</t>
  </si>
  <si>
    <t>Reviewing in general of the legislation governing the provision of public services in order to reflect the re-engineering of business processes in the regulatory framework.</t>
  </si>
  <si>
    <t>Capacity building of the staff involved in the re-engineering of processes and in the provision of public services.</t>
  </si>
  <si>
    <t>Total cost of Objective 8</t>
  </si>
  <si>
    <t>Digitization of main registers</t>
  </si>
  <si>
    <t>Development and use of an integrated ICT (based on the requirements of the services re-engineering process).</t>
  </si>
  <si>
    <t>Creating a mechanism for the citizens who will monitor the quality of service to provide their opinion through direct contact via SMS only for recipients of service.</t>
  </si>
  <si>
    <t>Total cost of Objective 9</t>
  </si>
  <si>
    <t>Drafting of a broad program of training on the new Administrative Procedure Code.</t>
  </si>
  <si>
    <t>Application of delegation in institutions, as a measure to increase the accountability of civil servants.</t>
  </si>
  <si>
    <t>Total cost of Objective 10</t>
  </si>
  <si>
    <t>Objective 11: Enhancement of control over the activities of public administration, guaranteeing the rights of citizens and access to information.</t>
  </si>
  <si>
    <t xml:space="preserve">The cost of building the system can only be determined after the function analysis  to be be carried out by NAIS. </t>
  </si>
  <si>
    <t>The cost of training will be determined upon completion of activity 3.2.3</t>
  </si>
  <si>
    <t>Total cost of Objective11</t>
  </si>
  <si>
    <t>Discrepancy</t>
  </si>
  <si>
    <t xml:space="preserve">Tables of the Summary Analysis of the costing of the Cross-cutting Public Administration Reform Strategy </t>
  </si>
  <si>
    <t>Objectives</t>
  </si>
  <si>
    <t>Total potential cost</t>
  </si>
  <si>
    <t xml:space="preserve">State budget </t>
  </si>
  <si>
    <t>Funding resources</t>
  </si>
  <si>
    <t>Donors (CoE +)</t>
  </si>
  <si>
    <t>World Bank</t>
  </si>
  <si>
    <t>Financial Gap</t>
  </si>
  <si>
    <t>Objective 2</t>
  </si>
  <si>
    <t xml:space="preserve">Objective 1 </t>
  </si>
  <si>
    <t>Objective 3</t>
  </si>
  <si>
    <t>Objective 4</t>
  </si>
  <si>
    <t>Objective 5</t>
  </si>
  <si>
    <t>Objective 6</t>
  </si>
  <si>
    <t>Objective 7</t>
  </si>
  <si>
    <t>Objective 8</t>
  </si>
  <si>
    <t>Objective 9</t>
  </si>
  <si>
    <t>Objective 10</t>
  </si>
  <si>
    <t>Objective 11</t>
  </si>
  <si>
    <t>Albanian School of Public Administration</t>
  </si>
  <si>
    <t>Policymaking, Legislation and Monitoring</t>
  </si>
  <si>
    <t xml:space="preserve">Innovation </t>
  </si>
  <si>
    <t>Local Administration</t>
  </si>
  <si>
    <t xml:space="preserve">Transparency and  A/C </t>
  </si>
  <si>
    <t xml:space="preserve">Civil Service and Human Resources </t>
  </si>
  <si>
    <t xml:space="preserve">Table 3: Distribution by expenditure items </t>
  </si>
  <si>
    <t>Table 2: Distribution of funds by areas</t>
  </si>
  <si>
    <t xml:space="preserve">Table 1: Distribution of funds by objectives </t>
  </si>
  <si>
    <t xml:space="preserve">Salary fund for additional staff  </t>
  </si>
  <si>
    <t>Expertise (local and foreign)</t>
  </si>
  <si>
    <t>Expenditures by items in EURO</t>
  </si>
  <si>
    <t xml:space="preserve">Computer software </t>
  </si>
  <si>
    <t xml:space="preserve">Other expenses and maintenance </t>
  </si>
  <si>
    <t xml:space="preserve">In specific weight </t>
  </si>
  <si>
    <t>Table 4 : Funding resources</t>
  </si>
  <si>
    <t>State budget</t>
  </si>
  <si>
    <t xml:space="preserve">Objective 2: Transparent and all-inclusive system of drafting laws, which is based on the policies and, which ensures alignment with the acquis </t>
  </si>
  <si>
    <t>This document has been produced with the financial assistance of the European Union (EU). It should not be reported as representing the official views of the EU, the OECD or its member countries, or of partners participating in the SIGMA Programme. The opinions expressed and arguments employed are those of the authors.</t>
  </si>
  <si>
    <t>This document, as well as any data and any map included herein, are without prejudice to the status of or sovereignty over any territory, to the delimitation of international frontiers and boundaries and to the name of any territory, city or area.</t>
  </si>
  <si>
    <t>mailto:sigmaweb@oecd.org</t>
  </si>
  <si>
    <t>Activities to carry out the action</t>
  </si>
  <si>
    <t xml:space="preserve">Table 1: Cost Estimate of the Cross-cutting Public Administration Reform Strategy. </t>
  </si>
  <si>
    <t>CS&amp;HRM</t>
  </si>
  <si>
    <t>Policy&amp;Monitoring</t>
  </si>
  <si>
    <t>Decentralisation</t>
  </si>
  <si>
    <t>Transparency and Anti-corruption</t>
  </si>
  <si>
    <t>Government funding</t>
  </si>
  <si>
    <t>Costing example - Albania</t>
  </si>
  <si>
    <t>© OECD 2018 – The use of this material, whether digital or print, is governed by the Terms and Conditions to be found on the OECD website page http://www.oecd.org/termsandconditions.</t>
  </si>
  <si>
    <t xml:space="preserve">2 Rue André Pascal 75775 Paris Cedex 16 France </t>
  </si>
  <si>
    <t xml:space="preserve">Tel: +33 (0) 1 45 24 82 00 www.sigmaweb.org </t>
  </si>
  <si>
    <t>Calculation and presentation of costs</t>
  </si>
  <si>
    <t xml:space="preserve"> of actions and activities </t>
  </si>
  <si>
    <t xml:space="preserve">Toolkit for the preparation, implementation, </t>
  </si>
  <si>
    <t xml:space="preserve">monitoring, reporting and evaluation </t>
  </si>
  <si>
    <t>of PAR and sector strategies</t>
  </si>
  <si>
    <t>Guidance for SIGMA partners</t>
  </si>
  <si>
    <t xml:space="preserve"> Annex 4: Part II</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</si>
</sst>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00_-;\-* #,##0.00_-;_-* &quot;-&quot;??_-;_-@_-"/>
    <numFmt numFmtId="171" formatCode="_(* #,##0_);_(* \(#,##0\);_(* &quot;-&quot;??_);_(@_)"/>
    <numFmt numFmtId="172" formatCode="_(* #,##0.0_);_(* \(#,##0.0\);_(* &quot;-&quot;??_);_(@_)"/>
    <numFmt numFmtId="173" formatCode="_-* #,##0_-;\-* #,##0_-;_-* &quot;-&quot;??_-;_-@_-"/>
  </numFmts>
  <fonts count="130">
    <font>
      <sz val="11"/>
      <color theme="1"/>
      <name val="Calibri"/>
      <family val="2"/>
    </font>
    <font>
      <sz val="11"/>
      <color indexed="8"/>
      <name val="Calibri"/>
      <family val="2"/>
    </font>
    <font>
      <sz val="8"/>
      <color indexed="8"/>
      <name val="Arial"/>
      <family val="2"/>
    </font>
    <font>
      <sz val="8"/>
      <name val="Arial"/>
      <family val="2"/>
    </font>
    <font>
      <b/>
      <i/>
      <sz val="8"/>
      <name val="Arial"/>
      <family val="2"/>
    </font>
    <font>
      <b/>
      <sz val="8"/>
      <name val="Arial"/>
      <family val="2"/>
    </font>
    <font>
      <i/>
      <sz val="8"/>
      <name val="Arial"/>
      <family val="2"/>
    </font>
    <font>
      <b/>
      <sz val="8"/>
      <color indexed="8"/>
      <name val="Arial"/>
      <family val="2"/>
    </font>
    <font>
      <sz val="8"/>
      <name val="Calibri"/>
      <family val="2"/>
    </font>
    <font>
      <b/>
      <sz val="8"/>
      <name val="Times New Roman"/>
      <family val="1"/>
    </font>
    <font>
      <b/>
      <sz val="10"/>
      <name val="Arial"/>
      <family val="2"/>
    </font>
    <font>
      <sz val="8"/>
      <name val="Arial Narrow"/>
      <family val="2"/>
    </font>
    <font>
      <b/>
      <sz val="8"/>
      <name val="Arial Narrow"/>
      <family val="2"/>
    </font>
    <font>
      <sz val="9"/>
      <color indexed="8"/>
      <name val="Arial"/>
      <family val="2"/>
    </font>
    <font>
      <sz val="8"/>
      <color indexed="8"/>
      <name val="Arial Narrow"/>
      <family val="2"/>
    </font>
    <font>
      <b/>
      <sz val="10"/>
      <name val="Arial Narrow"/>
      <family val="2"/>
    </font>
    <font>
      <b/>
      <i/>
      <sz val="8"/>
      <name val="Arial Narrow"/>
      <family val="2"/>
    </font>
    <font>
      <i/>
      <sz val="8"/>
      <name val="Arial Narrow"/>
      <family val="2"/>
    </font>
    <font>
      <b/>
      <sz val="8"/>
      <color indexed="8"/>
      <name val="Arial Narrow"/>
      <family val="2"/>
    </font>
    <font>
      <b/>
      <sz val="8"/>
      <color indexed="10"/>
      <name val="Arial Narrow"/>
      <family val="2"/>
    </font>
    <font>
      <sz val="10"/>
      <name val="Arial"/>
      <family val="2"/>
    </font>
    <font>
      <sz val="10"/>
      <color indexed="8"/>
      <name val="Arial"/>
      <family val="2"/>
    </font>
    <font>
      <b/>
      <sz val="10"/>
      <color indexed="8"/>
      <name val="Arial"/>
      <family val="2"/>
    </font>
    <font>
      <b/>
      <i/>
      <sz val="10"/>
      <name val="Arial"/>
      <family val="2"/>
    </font>
    <font>
      <sz val="10"/>
      <name val="Arial Narrow"/>
      <family val="2"/>
    </font>
    <font>
      <b/>
      <sz val="10"/>
      <color indexed="10"/>
      <name val="Arial"/>
      <family val="2"/>
    </font>
    <font>
      <sz val="10"/>
      <color indexed="8"/>
      <name val="Calibri"/>
      <family val="2"/>
    </font>
    <font>
      <sz val="9"/>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8"/>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18"/>
      <name val="Arial"/>
      <family val="2"/>
    </font>
    <font>
      <b/>
      <i/>
      <sz val="8"/>
      <color indexed="8"/>
      <name val="Arial"/>
      <family val="2"/>
    </font>
    <font>
      <sz val="8"/>
      <color indexed="18"/>
      <name val="Arial"/>
      <family val="2"/>
    </font>
    <font>
      <sz val="8"/>
      <color indexed="10"/>
      <name val="Arial Narrow"/>
      <family val="2"/>
    </font>
    <font>
      <b/>
      <sz val="8"/>
      <color indexed="10"/>
      <name val="Arial"/>
      <family val="2"/>
    </font>
    <font>
      <sz val="8"/>
      <color indexed="10"/>
      <name val="Arial"/>
      <family val="2"/>
    </font>
    <font>
      <sz val="8"/>
      <color indexed="18"/>
      <name val="Arial Narrow"/>
      <family val="2"/>
    </font>
    <font>
      <b/>
      <i/>
      <sz val="8"/>
      <color indexed="8"/>
      <name val="Arial Narrow"/>
      <family val="2"/>
    </font>
    <font>
      <b/>
      <sz val="8"/>
      <color indexed="18"/>
      <name val="Arial Narrow"/>
      <family val="2"/>
    </font>
    <font>
      <b/>
      <sz val="10"/>
      <color indexed="10"/>
      <name val="Arial Narrow"/>
      <family val="2"/>
    </font>
    <font>
      <b/>
      <i/>
      <sz val="10"/>
      <color indexed="10"/>
      <name val="Arial"/>
      <family val="2"/>
    </font>
    <font>
      <sz val="10"/>
      <color indexed="18"/>
      <name val="Arial"/>
      <family val="2"/>
    </font>
    <font>
      <b/>
      <sz val="10"/>
      <color indexed="60"/>
      <name val="Arial Narrow"/>
      <family val="2"/>
    </font>
    <font>
      <sz val="10"/>
      <color indexed="60"/>
      <name val="Arial Narrow"/>
      <family val="2"/>
    </font>
    <font>
      <b/>
      <i/>
      <sz val="10"/>
      <color indexed="60"/>
      <name val="Arial Narrow"/>
      <family val="2"/>
    </font>
    <font>
      <b/>
      <sz val="10"/>
      <color indexed="18"/>
      <name val="Arial"/>
      <family val="2"/>
    </font>
    <font>
      <sz val="10"/>
      <color indexed="10"/>
      <name val="Arial Narrow"/>
      <family val="2"/>
    </font>
    <font>
      <sz val="8"/>
      <color indexed="60"/>
      <name val="Arial"/>
      <family val="2"/>
    </font>
    <font>
      <b/>
      <sz val="9"/>
      <name val="Calibri"/>
      <family val="2"/>
    </font>
    <font>
      <sz val="9"/>
      <name val="Calibri"/>
      <family val="2"/>
    </font>
    <font>
      <b/>
      <sz val="10"/>
      <name val="Calibri"/>
      <family val="2"/>
    </font>
    <font>
      <sz val="6.5"/>
      <color indexed="21"/>
      <name val="Arial"/>
      <family val="2"/>
    </font>
    <font>
      <sz val="22"/>
      <color indexed="8"/>
      <name val="Calibri"/>
      <family val="2"/>
    </font>
    <font>
      <b/>
      <sz val="22"/>
      <color indexed="49"/>
      <name val="Calibri"/>
      <family val="2"/>
    </font>
    <font>
      <sz val="22"/>
      <color indexed="21"/>
      <name val="Arial"/>
      <family val="2"/>
    </font>
    <font>
      <sz val="6"/>
      <color indexed="23"/>
      <name val="Calibri"/>
      <family val="2"/>
    </font>
    <font>
      <u val="single"/>
      <sz val="6.5"/>
      <color indexed="12"/>
      <name val="Arial"/>
      <family val="2"/>
    </font>
    <font>
      <sz val="6"/>
      <color indexed="21"/>
      <name val="Arial"/>
      <family val="2"/>
    </font>
    <font>
      <u val="single"/>
      <sz val="6"/>
      <color indexed="12"/>
      <name val="Calibri"/>
      <family val="2"/>
    </font>
    <font>
      <sz val="6"/>
      <color indexed="8"/>
      <name val="Calibri"/>
      <family val="2"/>
    </font>
    <font>
      <sz val="11"/>
      <color indexed="8"/>
      <name val="Arial Narrow"/>
      <family val="2"/>
    </font>
    <font>
      <b/>
      <sz val="8"/>
      <color indexed="60"/>
      <name val="Arial"/>
      <family val="2"/>
    </font>
    <font>
      <sz val="7.75"/>
      <color indexed="8"/>
      <name val="Calibri"/>
      <family val="2"/>
    </font>
    <font>
      <sz val="6.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8"/>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3" tint="-0.24997000396251678"/>
      <name val="Arial"/>
      <family val="2"/>
    </font>
    <font>
      <b/>
      <i/>
      <sz val="8"/>
      <color theme="1"/>
      <name val="Arial"/>
      <family val="2"/>
    </font>
    <font>
      <sz val="8"/>
      <color theme="3" tint="-0.24997000396251678"/>
      <name val="Arial"/>
      <family val="2"/>
    </font>
    <font>
      <sz val="8"/>
      <color rgb="FFFF0000"/>
      <name val="Arial Narrow"/>
      <family val="2"/>
    </font>
    <font>
      <b/>
      <sz val="8"/>
      <color theme="1"/>
      <name val="Arial"/>
      <family val="2"/>
    </font>
    <font>
      <b/>
      <sz val="8"/>
      <color rgb="FFFF0000"/>
      <name val="Arial"/>
      <family val="2"/>
    </font>
    <font>
      <sz val="8"/>
      <color rgb="FFFF0000"/>
      <name val="Arial"/>
      <family val="2"/>
    </font>
    <font>
      <sz val="8"/>
      <color rgb="FF000000"/>
      <name val="Arial"/>
      <family val="2"/>
    </font>
    <font>
      <sz val="8"/>
      <color theme="3" tint="-0.24997000396251678"/>
      <name val="Arial Narrow"/>
      <family val="2"/>
    </font>
    <font>
      <b/>
      <i/>
      <sz val="8"/>
      <color theme="1"/>
      <name val="Arial Narrow"/>
      <family val="2"/>
    </font>
    <font>
      <b/>
      <sz val="8"/>
      <color theme="3" tint="-0.24997000396251678"/>
      <name val="Arial Narrow"/>
      <family val="2"/>
    </font>
    <font>
      <b/>
      <sz val="10"/>
      <color rgb="FFFF0000"/>
      <name val="Arial Narrow"/>
      <family val="2"/>
    </font>
    <font>
      <b/>
      <i/>
      <sz val="10"/>
      <color rgb="FFFF0000"/>
      <name val="Arial"/>
      <family val="2"/>
    </font>
    <font>
      <sz val="10"/>
      <color theme="3" tint="-0.24997000396251678"/>
      <name val="Arial"/>
      <family val="2"/>
    </font>
    <font>
      <b/>
      <sz val="10"/>
      <color rgb="FFC00000"/>
      <name val="Arial Narrow"/>
      <family val="2"/>
    </font>
    <font>
      <sz val="10"/>
      <color rgb="FFC00000"/>
      <name val="Arial Narrow"/>
      <family val="2"/>
    </font>
    <font>
      <b/>
      <i/>
      <sz val="10"/>
      <color rgb="FFC00000"/>
      <name val="Arial Narrow"/>
      <family val="2"/>
    </font>
    <font>
      <b/>
      <sz val="10"/>
      <color theme="3" tint="-0.24997000396251678"/>
      <name val="Arial"/>
      <family val="2"/>
    </font>
    <font>
      <sz val="10"/>
      <color rgb="FFFF0000"/>
      <name val="Arial Narrow"/>
      <family val="2"/>
    </font>
    <font>
      <sz val="8"/>
      <color rgb="FFC00000"/>
      <name val="Arial"/>
      <family val="2"/>
    </font>
    <font>
      <sz val="8"/>
      <color theme="1"/>
      <name val="Arial"/>
      <family val="2"/>
    </font>
    <font>
      <sz val="6.5"/>
      <color rgb="FF008080"/>
      <name val="Arial"/>
      <family val="2"/>
    </font>
    <font>
      <sz val="22"/>
      <color theme="1"/>
      <name val="Calibri"/>
      <family val="2"/>
    </font>
    <font>
      <b/>
      <sz val="22"/>
      <color rgb="FF31849B"/>
      <name val="Calibri"/>
      <family val="2"/>
    </font>
    <font>
      <sz val="22"/>
      <color rgb="FF008080"/>
      <name val="Arial"/>
      <family val="2"/>
    </font>
    <font>
      <sz val="6"/>
      <color rgb="FF808080"/>
      <name val="Calibri"/>
      <family val="2"/>
    </font>
    <font>
      <u val="single"/>
      <sz val="6.5"/>
      <color theme="10"/>
      <name val="Arial"/>
      <family val="2"/>
    </font>
    <font>
      <sz val="6"/>
      <color rgb="FF008080"/>
      <name val="Arial"/>
      <family val="2"/>
    </font>
    <font>
      <u val="single"/>
      <sz val="6"/>
      <color theme="10"/>
      <name val="Calibri"/>
      <family val="2"/>
    </font>
    <font>
      <sz val="6"/>
      <color theme="1"/>
      <name val="Calibri"/>
      <family val="2"/>
    </font>
    <font>
      <sz val="11"/>
      <color theme="1"/>
      <name val="Arial Narrow"/>
      <family val="2"/>
    </font>
    <font>
      <b/>
      <sz val="8"/>
      <color rgb="FFC0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theme="3" tint="0.5999900102615356"/>
        <bgColor indexed="64"/>
      </patternFill>
    </fill>
    <fill>
      <patternFill patternType="solid">
        <fgColor rgb="FF00B050"/>
        <bgColor indexed="64"/>
      </patternFill>
    </fill>
    <fill>
      <patternFill patternType="solid">
        <fgColor rgb="FFFFC000"/>
        <bgColor indexed="64"/>
      </patternFill>
    </fill>
    <fill>
      <patternFill patternType="solid">
        <fgColor theme="3" tint="0.7999799847602844"/>
        <bgColor indexed="64"/>
      </patternFill>
    </fill>
    <fill>
      <patternFill patternType="solid">
        <fgColor rgb="FFFFFF99"/>
        <bgColor indexed="64"/>
      </patternFill>
    </fill>
  </fills>
  <borders count="1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right style="thin"/>
      <top style="thin"/>
      <bottom style="thin"/>
    </border>
    <border>
      <left style="thin"/>
      <right style="thin"/>
      <top/>
      <bottom style="thin"/>
    </border>
    <border>
      <left style="thin"/>
      <right style="thin"/>
      <top style="medium"/>
      <bottom style="thin"/>
    </border>
    <border>
      <left style="medium"/>
      <right style="thin"/>
      <top style="thin"/>
      <bottom style="thin"/>
    </border>
    <border>
      <left/>
      <right style="medium"/>
      <top style="thin"/>
      <bottom style="thin"/>
    </border>
    <border>
      <left style="medium"/>
      <right style="thin"/>
      <top style="thin"/>
      <bottom style="medium"/>
    </border>
    <border>
      <left/>
      <right style="thin"/>
      <top style="thin"/>
      <bottom/>
    </border>
    <border>
      <left style="thin"/>
      <right style="thin"/>
      <top style="thin"/>
      <bottom/>
    </border>
    <border>
      <left style="thin"/>
      <right/>
      <top style="thin"/>
      <bottom/>
    </border>
    <border>
      <left style="thin"/>
      <right style="medium"/>
      <top style="thin"/>
      <bottom style="thin"/>
    </border>
    <border>
      <left style="thin"/>
      <right style="medium"/>
      <top style="medium"/>
      <bottom style="thin"/>
    </border>
    <border>
      <left/>
      <right style="thin"/>
      <top style="thin"/>
      <bottom style="medium"/>
    </border>
    <border>
      <left/>
      <right/>
      <top/>
      <bottom style="medium"/>
    </border>
    <border>
      <left style="medium"/>
      <right style="thin"/>
      <top style="thin"/>
      <bottom/>
    </border>
    <border>
      <left style="thin"/>
      <right style="thin"/>
      <top style="medium"/>
      <bottom/>
    </border>
    <border>
      <left/>
      <right style="thin"/>
      <top style="medium"/>
      <bottom style="thin"/>
    </border>
    <border>
      <left/>
      <right style="thin"/>
      <top/>
      <bottom style="thin"/>
    </border>
    <border>
      <left style="thin"/>
      <right style="thin"/>
      <top style="medium"/>
      <bottom style="medium"/>
    </border>
    <border>
      <left/>
      <right/>
      <top/>
      <bottom style="thin"/>
    </border>
    <border>
      <left style="thin"/>
      <right style="thin"/>
      <top/>
      <bottom/>
    </border>
    <border>
      <left style="medium"/>
      <right style="thin"/>
      <top/>
      <bottom/>
    </border>
    <border>
      <left/>
      <right/>
      <top style="thin"/>
      <bottom/>
    </border>
    <border>
      <left style="thin"/>
      <right/>
      <top style="thin"/>
      <bottom style="thin"/>
    </border>
    <border>
      <left style="thin"/>
      <right/>
      <top/>
      <bottom style="thin"/>
    </border>
    <border>
      <left style="thin"/>
      <right style="thin"/>
      <top/>
      <bottom style="medium"/>
    </border>
    <border>
      <left/>
      <right/>
      <top style="medium"/>
      <bottom/>
    </border>
    <border>
      <left/>
      <right/>
      <top style="thin"/>
      <bottom style="thin"/>
    </border>
    <border>
      <left/>
      <right/>
      <top style="thin"/>
      <bottom style="medium"/>
    </border>
    <border>
      <left style="medium"/>
      <right/>
      <top/>
      <bottom style="thin"/>
    </border>
    <border>
      <left/>
      <right style="medium"/>
      <top/>
      <bottom style="thin"/>
    </border>
    <border>
      <left style="thin"/>
      <right/>
      <top/>
      <bottom/>
    </border>
    <border>
      <left style="thin"/>
      <right style="medium"/>
      <top style="thin"/>
      <bottom style="medium"/>
    </border>
    <border>
      <left/>
      <right style="thin"/>
      <top/>
      <bottom/>
    </border>
    <border>
      <left style="medium"/>
      <right style="thin"/>
      <top/>
      <bottom style="thin"/>
    </border>
    <border>
      <left/>
      <right/>
      <top style="medium"/>
      <bottom style="thin"/>
    </border>
    <border>
      <left style="medium">
        <color theme="5"/>
      </left>
      <right style="thin">
        <color theme="5"/>
      </right>
      <top/>
      <bottom style="thin">
        <color theme="5"/>
      </bottom>
    </border>
    <border>
      <left style="thin">
        <color theme="5"/>
      </left>
      <right style="thin">
        <color theme="5"/>
      </right>
      <top/>
      <bottom style="thin">
        <color theme="5"/>
      </bottom>
    </border>
    <border>
      <left style="thin">
        <color theme="5"/>
      </left>
      <right style="medium">
        <color theme="5"/>
      </right>
      <top/>
      <bottom style="thin">
        <color theme="5"/>
      </bottom>
    </border>
    <border>
      <left style="medium">
        <color theme="5"/>
      </left>
      <right style="thin">
        <color theme="5"/>
      </right>
      <top style="thin">
        <color theme="5"/>
      </top>
      <bottom style="thin">
        <color theme="5"/>
      </bottom>
    </border>
    <border>
      <left style="thin">
        <color theme="5"/>
      </left>
      <right style="thin">
        <color theme="5"/>
      </right>
      <top style="thin">
        <color theme="5"/>
      </top>
      <bottom style="thin">
        <color theme="5"/>
      </bottom>
    </border>
    <border>
      <left style="thin">
        <color theme="5"/>
      </left>
      <right style="medium">
        <color theme="5"/>
      </right>
      <top style="thin">
        <color theme="5"/>
      </top>
      <bottom style="thin">
        <color theme="5"/>
      </bottom>
    </border>
    <border>
      <left style="medium">
        <color theme="5"/>
      </left>
      <right style="thin">
        <color theme="5"/>
      </right>
      <top style="thin">
        <color theme="5"/>
      </top>
      <bottom style="medium">
        <color theme="5"/>
      </bottom>
    </border>
    <border>
      <left style="thin">
        <color theme="5"/>
      </left>
      <right style="thin">
        <color theme="5"/>
      </right>
      <top style="thin">
        <color theme="5"/>
      </top>
      <bottom style="medium">
        <color theme="5"/>
      </bottom>
    </border>
    <border>
      <left style="thin">
        <color theme="5"/>
      </left>
      <right style="medium">
        <color theme="5"/>
      </right>
      <top style="thin">
        <color theme="5"/>
      </top>
      <bottom style="medium">
        <color theme="5"/>
      </bottom>
    </border>
    <border>
      <left style="medium">
        <color theme="3"/>
      </left>
      <right/>
      <top style="medium">
        <color theme="3"/>
      </top>
      <bottom style="thin">
        <color theme="3"/>
      </bottom>
    </border>
    <border>
      <left style="medium">
        <color theme="3"/>
      </left>
      <right style="thin">
        <color theme="3"/>
      </right>
      <top style="thin">
        <color theme="3"/>
      </top>
      <bottom style="medium">
        <color theme="3"/>
      </bottom>
    </border>
    <border>
      <left style="thin">
        <color theme="3"/>
      </left>
      <right style="thin">
        <color theme="3"/>
      </right>
      <top/>
      <bottom style="medium">
        <color theme="3"/>
      </bottom>
    </border>
    <border>
      <left style="thin">
        <color theme="3"/>
      </left>
      <right style="thin">
        <color theme="3"/>
      </right>
      <top/>
      <bottom style="thin">
        <color theme="3"/>
      </bottom>
    </border>
    <border>
      <left style="thin">
        <color theme="3"/>
      </left>
      <right style="thin">
        <color theme="3"/>
      </right>
      <top style="thin">
        <color theme="3"/>
      </top>
      <bottom style="thin">
        <color theme="3"/>
      </bottom>
    </border>
    <border>
      <left style="thin">
        <color theme="3"/>
      </left>
      <right style="thin">
        <color theme="3"/>
      </right>
      <top style="thin">
        <color theme="3"/>
      </top>
      <bottom/>
    </border>
    <border>
      <left style="thin">
        <color theme="6" tint="-0.4999699890613556"/>
      </left>
      <right style="thin">
        <color theme="6" tint="-0.4999699890613556"/>
      </right>
      <top style="thin">
        <color theme="6" tint="-0.4999699890613556"/>
      </top>
      <bottom style="thin">
        <color theme="6" tint="-0.4999699890613556"/>
      </bottom>
    </border>
    <border>
      <left style="medium">
        <color theme="6" tint="-0.4999699890613556"/>
      </left>
      <right style="thin">
        <color theme="6" tint="-0.4999699890613556"/>
      </right>
      <top style="thin">
        <color theme="6" tint="-0.4999699890613556"/>
      </top>
      <bottom style="thin">
        <color theme="6" tint="-0.4999699890613556"/>
      </bottom>
    </border>
    <border>
      <left style="thin">
        <color theme="6" tint="-0.4999699890613556"/>
      </left>
      <right style="medium">
        <color theme="6" tint="-0.4999699890613556"/>
      </right>
      <top style="thin">
        <color theme="6" tint="-0.4999699890613556"/>
      </top>
      <bottom style="thin">
        <color theme="6" tint="-0.4999699890613556"/>
      </bottom>
    </border>
    <border>
      <left style="medium">
        <color theme="6" tint="-0.4999699890613556"/>
      </left>
      <right style="thin">
        <color theme="6" tint="-0.4999699890613556"/>
      </right>
      <top style="thin">
        <color theme="6" tint="-0.4999699890613556"/>
      </top>
      <bottom style="medium">
        <color theme="6" tint="-0.4999699890613556"/>
      </bottom>
    </border>
    <border>
      <left style="medium">
        <color theme="6" tint="-0.4999699890613556"/>
      </left>
      <right style="thin">
        <color theme="6" tint="-0.4999699890613556"/>
      </right>
      <top/>
      <bottom style="thin">
        <color theme="6" tint="-0.4999699890613556"/>
      </bottom>
    </border>
    <border>
      <left style="thin">
        <color theme="6" tint="-0.4999699890613556"/>
      </left>
      <right style="thin">
        <color theme="6" tint="-0.4999699890613556"/>
      </right>
      <top/>
      <bottom style="thin">
        <color theme="6" tint="-0.4999699890613556"/>
      </bottom>
    </border>
    <border>
      <left style="thin">
        <color theme="6" tint="-0.4999699890613556"/>
      </left>
      <right style="medium">
        <color theme="6" tint="-0.4999699890613556"/>
      </right>
      <top/>
      <bottom style="thin">
        <color theme="6" tint="-0.4999699890613556"/>
      </bottom>
    </border>
    <border>
      <left style="thin">
        <color theme="6" tint="-0.4999699890613556"/>
      </left>
      <right style="thin">
        <color theme="6" tint="-0.4999699890613556"/>
      </right>
      <top style="thin">
        <color theme="6" tint="-0.4999699890613556"/>
      </top>
      <bottom/>
    </border>
    <border>
      <left style="thin">
        <color theme="6" tint="-0.4999699890613556"/>
      </left>
      <right style="medium">
        <color theme="6" tint="-0.4999699890613556"/>
      </right>
      <top style="thin">
        <color theme="6" tint="-0.4999699890613556"/>
      </top>
      <bottom/>
    </border>
    <border>
      <left style="medium">
        <color theme="6" tint="-0.4999699890613556"/>
      </left>
      <right style="thin">
        <color theme="6" tint="-0.4999699890613556"/>
      </right>
      <top style="medium">
        <color theme="6" tint="-0.4999699890613556"/>
      </top>
      <bottom style="medium">
        <color theme="6" tint="-0.4999699890613556"/>
      </bottom>
    </border>
    <border>
      <left style="medium">
        <color theme="6" tint="-0.4999699890613556"/>
      </left>
      <right style="thin">
        <color theme="6" tint="-0.4999699890613556"/>
      </right>
      <top style="thin">
        <color theme="6" tint="-0.4999699890613556"/>
      </top>
      <bottom/>
    </border>
    <border>
      <left style="thin">
        <color theme="6" tint="-0.4999699890613556"/>
      </left>
      <right style="thin">
        <color theme="6" tint="-0.4999699890613556"/>
      </right>
      <top style="medium">
        <color theme="6" tint="-0.4999699890613556"/>
      </top>
      <bottom style="medium">
        <color theme="6" tint="-0.4999699890613556"/>
      </bottom>
    </border>
    <border>
      <left style="thin">
        <color theme="6" tint="-0.4999699890613556"/>
      </left>
      <right style="medium">
        <color theme="6" tint="-0.4999699890613556"/>
      </right>
      <top style="medium">
        <color theme="6" tint="-0.4999699890613556"/>
      </top>
      <bottom style="medium">
        <color theme="6" tint="-0.4999699890613556"/>
      </bottom>
    </border>
    <border>
      <left/>
      <right/>
      <top/>
      <bottom style="medium">
        <color theme="6" tint="-0.4999699890613556"/>
      </bottom>
    </border>
    <border>
      <left style="medium">
        <color theme="6" tint="-0.4999699890613556"/>
      </left>
      <right style="medium">
        <color theme="6" tint="-0.4999699890613556"/>
      </right>
      <top style="medium">
        <color theme="6" tint="-0.4999699890613556"/>
      </top>
      <bottom style="medium">
        <color theme="6" tint="-0.4999699890613556"/>
      </bottom>
    </border>
    <border>
      <left style="medium">
        <color theme="5"/>
      </left>
      <right style="medium">
        <color theme="5"/>
      </right>
      <top style="medium">
        <color theme="5"/>
      </top>
      <bottom style="medium">
        <color theme="5"/>
      </bottom>
    </border>
    <border>
      <left style="thin">
        <color theme="6" tint="-0.4999699890613556"/>
      </left>
      <right style="medium">
        <color theme="6" tint="-0.4999699890613556"/>
      </right>
      <top style="thin">
        <color theme="6" tint="-0.4999699890613556"/>
      </top>
      <bottom style="medium">
        <color theme="6" tint="-0.4999699890613556"/>
      </bottom>
    </border>
    <border>
      <left style="medium">
        <color theme="3"/>
      </left>
      <right style="thin">
        <color theme="3"/>
      </right>
      <top style="medium">
        <color theme="3"/>
      </top>
      <bottom style="medium">
        <color theme="3"/>
      </bottom>
    </border>
    <border>
      <left style="thin">
        <color theme="3"/>
      </left>
      <right style="thin">
        <color theme="3"/>
      </right>
      <top style="medium">
        <color theme="3"/>
      </top>
      <bottom style="medium">
        <color theme="3"/>
      </bottom>
    </border>
    <border>
      <left style="thin">
        <color theme="3"/>
      </left>
      <right style="medium">
        <color theme="3"/>
      </right>
      <top style="medium">
        <color theme="3"/>
      </top>
      <bottom style="medium">
        <color theme="3"/>
      </bottom>
    </border>
    <border>
      <left/>
      <right style="medium">
        <color theme="3"/>
      </right>
      <top style="medium">
        <color theme="3"/>
      </top>
      <bottom style="thin">
        <color theme="3"/>
      </bottom>
    </border>
    <border>
      <left style="thin">
        <color theme="3"/>
      </left>
      <right style="medium">
        <color theme="3"/>
      </right>
      <top style="thin">
        <color theme="3"/>
      </top>
      <bottom style="medium">
        <color theme="3"/>
      </bottom>
    </border>
    <border>
      <left style="medium">
        <color theme="6" tint="-0.4999699890613556"/>
      </left>
      <right/>
      <top style="medium">
        <color theme="6" tint="-0.4999699890613556"/>
      </top>
      <bottom style="thin">
        <color theme="6" tint="-0.4999699890613556"/>
      </bottom>
    </border>
    <border>
      <left style="medium">
        <color theme="6" tint="-0.4999699890613556"/>
      </left>
      <right/>
      <top style="thin">
        <color theme="6" tint="-0.4999699890613556"/>
      </top>
      <bottom style="medium">
        <color theme="6" tint="-0.4999699890613556"/>
      </bottom>
    </border>
    <border>
      <left style="medium">
        <color theme="6" tint="-0.4999699890613556"/>
      </left>
      <right style="medium">
        <color theme="6" tint="-0.4999699890613556"/>
      </right>
      <top style="medium">
        <color theme="6" tint="-0.4999699890613556"/>
      </top>
      <bottom style="thin">
        <color theme="6" tint="-0.4999699890613556"/>
      </bottom>
    </border>
    <border>
      <left style="medium">
        <color theme="6" tint="-0.4999699890613556"/>
      </left>
      <right style="medium">
        <color theme="6" tint="-0.4999699890613556"/>
      </right>
      <top style="thin">
        <color theme="6" tint="-0.4999699890613556"/>
      </top>
      <bottom style="medium">
        <color theme="6" tint="-0.4999699890613556"/>
      </bottom>
    </border>
    <border>
      <left style="medium">
        <color theme="5"/>
      </left>
      <right style="medium">
        <color theme="5"/>
      </right>
      <top style="medium">
        <color theme="5"/>
      </top>
      <bottom style="thin">
        <color theme="5"/>
      </bottom>
    </border>
    <border>
      <left style="medium">
        <color theme="5"/>
      </left>
      <right style="medium">
        <color theme="5"/>
      </right>
      <top style="thin">
        <color theme="5"/>
      </top>
      <bottom style="medium">
        <color theme="5"/>
      </bottom>
    </border>
    <border>
      <left style="medium">
        <color theme="5"/>
      </left>
      <right style="medium">
        <color theme="5"/>
      </right>
      <top style="medium">
        <color theme="5"/>
      </top>
      <bottom/>
    </border>
    <border>
      <left style="medium">
        <color theme="5"/>
      </left>
      <right style="medium">
        <color theme="5"/>
      </right>
      <top/>
      <bottom style="medium">
        <color theme="5"/>
      </bottom>
    </border>
    <border>
      <left style="medium">
        <color theme="5"/>
      </left>
      <right/>
      <top style="medium">
        <color theme="5"/>
      </top>
      <bottom style="medium">
        <color theme="5"/>
      </bottom>
    </border>
    <border>
      <left/>
      <right/>
      <top style="medium">
        <color theme="5"/>
      </top>
      <bottom style="medium">
        <color theme="5"/>
      </bottom>
    </border>
    <border>
      <left/>
      <right style="medium">
        <color theme="5"/>
      </right>
      <top style="medium">
        <color theme="5"/>
      </top>
      <bottom style="medium">
        <color theme="5"/>
      </bottom>
    </border>
    <border>
      <left style="medium"/>
      <right style="thin"/>
      <top style="medium"/>
      <bottom style="thin"/>
    </border>
    <border>
      <left style="medium"/>
      <right/>
      <top style="medium"/>
      <bottom style="thin"/>
    </border>
    <border>
      <left style="thin"/>
      <right/>
      <top style="medium"/>
      <bottom style="thin"/>
    </border>
    <border>
      <left style="thin"/>
      <right/>
      <top style="medium"/>
      <bottom/>
    </border>
    <border>
      <left/>
      <right style="thin"/>
      <top style="medium"/>
      <bottom/>
    </border>
    <border>
      <left style="medium"/>
      <right style="thin"/>
      <top style="medium"/>
      <bottom/>
    </border>
    <border>
      <left style="medium"/>
      <right style="thin"/>
      <top/>
      <bottom style="medium"/>
    </border>
    <border>
      <left style="thin"/>
      <right style="medium"/>
      <top style="medium"/>
      <bottom/>
    </border>
    <border>
      <left style="thin"/>
      <right style="medium"/>
      <top/>
      <bottom/>
    </border>
    <border>
      <left style="thin"/>
      <right style="medium"/>
      <top/>
      <bottom style="medium"/>
    </border>
    <border>
      <left style="medium"/>
      <right/>
      <top style="medium"/>
      <bottom/>
    </border>
    <border>
      <left/>
      <right style="medium"/>
      <top style="medium"/>
      <bottom/>
    </border>
    <border>
      <left style="medium"/>
      <right/>
      <top/>
      <bottom/>
    </border>
    <border>
      <left/>
      <right style="medium"/>
      <top/>
      <bottom/>
    </border>
    <border>
      <left/>
      <right style="medium"/>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26" borderId="0" applyNumberFormat="0" applyBorder="0" applyAlignment="0" applyProtection="0"/>
    <xf numFmtId="0" fontId="82" fillId="27" borderId="1" applyNumberFormat="0" applyAlignment="0" applyProtection="0"/>
    <xf numFmtId="0" fontId="83" fillId="28" borderId="2"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29" borderId="0" applyNumberFormat="0" applyBorder="0" applyAlignment="0" applyProtection="0"/>
    <xf numFmtId="0" fontId="87" fillId="0" borderId="3" applyNumberFormat="0" applyFill="0" applyAlignment="0" applyProtection="0"/>
    <xf numFmtId="0" fontId="88" fillId="0" borderId="4" applyNumberFormat="0" applyFill="0" applyAlignment="0" applyProtection="0"/>
    <xf numFmtId="0" fontId="89" fillId="0" borderId="5" applyNumberFormat="0" applyFill="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30" borderId="1" applyNumberFormat="0" applyAlignment="0" applyProtection="0"/>
    <xf numFmtId="0" fontId="92" fillId="0" borderId="6" applyNumberFormat="0" applyFill="0" applyAlignment="0" applyProtection="0"/>
    <xf numFmtId="0" fontId="93"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94" fillId="27" borderId="8" applyNumberFormat="0" applyAlignment="0" applyProtection="0"/>
    <xf numFmtId="9" fontId="1" fillId="0" borderId="0" applyFont="0" applyFill="0" applyBorder="0" applyAlignment="0" applyProtection="0"/>
    <xf numFmtId="0" fontId="95" fillId="0" borderId="0" applyNumberFormat="0" applyFill="0" applyBorder="0" applyAlignment="0" applyProtection="0"/>
    <xf numFmtId="0" fontId="96" fillId="0" borderId="9" applyNumberFormat="0" applyFill="0" applyAlignment="0" applyProtection="0"/>
    <xf numFmtId="0" fontId="97" fillId="0" borderId="0" applyNumberFormat="0" applyFill="0" applyBorder="0" applyAlignment="0" applyProtection="0"/>
  </cellStyleXfs>
  <cellXfs count="1211">
    <xf numFmtId="0" fontId="0" fillId="0" borderId="0" xfId="0" applyFont="1" applyAlignment="1">
      <alignment/>
    </xf>
    <xf numFmtId="0" fontId="3" fillId="0" borderId="0" xfId="0" applyFont="1" applyFill="1" applyBorder="1" applyAlignment="1" applyProtection="1">
      <alignment horizontal="right"/>
      <protection locked="0"/>
    </xf>
    <xf numFmtId="0" fontId="5" fillId="2" borderId="10" xfId="0" applyFont="1" applyFill="1" applyBorder="1" applyAlignment="1" applyProtection="1">
      <alignment horizontal="right"/>
      <protection locked="0"/>
    </xf>
    <xf numFmtId="0" fontId="2" fillId="0" borderId="0" xfId="0" applyFont="1" applyFill="1" applyBorder="1" applyAlignment="1" applyProtection="1">
      <alignment/>
      <protection locked="0"/>
    </xf>
    <xf numFmtId="0" fontId="4" fillId="0" borderId="0" xfId="0" applyFont="1" applyFill="1" applyBorder="1" applyAlignment="1" applyProtection="1">
      <alignment horizontal="center" wrapText="1"/>
      <protection locked="0"/>
    </xf>
    <xf numFmtId="0" fontId="4" fillId="0" borderId="0" xfId="0" applyFont="1" applyFill="1" applyBorder="1" applyAlignment="1" applyProtection="1">
      <alignment horizontal="center"/>
      <protection locked="0"/>
    </xf>
    <xf numFmtId="0" fontId="4" fillId="0" borderId="0" xfId="0" applyFont="1" applyFill="1" applyBorder="1" applyAlignment="1" applyProtection="1">
      <alignment/>
      <protection locked="0"/>
    </xf>
    <xf numFmtId="0" fontId="6" fillId="0" borderId="0" xfId="0" applyFont="1" applyFill="1" applyBorder="1" applyAlignment="1" applyProtection="1">
      <alignment/>
      <protection locked="0"/>
    </xf>
    <xf numFmtId="0" fontId="5" fillId="0" borderId="10" xfId="0" applyFont="1" applyFill="1" applyBorder="1" applyAlignment="1" applyProtection="1">
      <alignment horizontal="right"/>
      <protection locked="0"/>
    </xf>
    <xf numFmtId="0" fontId="3" fillId="0" borderId="0" xfId="0" applyFont="1" applyFill="1" applyBorder="1" applyAlignment="1" applyProtection="1">
      <alignment/>
      <protection locked="0"/>
    </xf>
    <xf numFmtId="0" fontId="2" fillId="0" borderId="0" xfId="0" applyFont="1" applyFill="1" applyBorder="1" applyAlignment="1" applyProtection="1">
      <alignment horizontal="center"/>
      <protection locked="0"/>
    </xf>
    <xf numFmtId="0" fontId="2" fillId="0" borderId="0" xfId="0" applyFont="1" applyFill="1" applyBorder="1" applyAlignment="1" applyProtection="1">
      <alignment horizontal="right"/>
      <protection locked="0"/>
    </xf>
    <xf numFmtId="0" fontId="4" fillId="0" borderId="0" xfId="0" applyFont="1" applyFill="1" applyBorder="1" applyAlignment="1" applyProtection="1">
      <alignment horizontal="center" vertical="center" wrapText="1"/>
      <protection locked="0"/>
    </xf>
    <xf numFmtId="0" fontId="98" fillId="8" borderId="11" xfId="0" applyFont="1" applyFill="1" applyBorder="1" applyAlignment="1" applyProtection="1">
      <alignment/>
      <protection locked="0"/>
    </xf>
    <xf numFmtId="0" fontId="7" fillId="8" borderId="11" xfId="0" applyFont="1" applyFill="1" applyBorder="1" applyAlignment="1" applyProtection="1">
      <alignment horizontal="center"/>
      <protection locked="0"/>
    </xf>
    <xf numFmtId="0" fontId="99" fillId="0" borderId="0" xfId="0" applyFont="1" applyFill="1" applyBorder="1" applyAlignment="1" applyProtection="1">
      <alignment/>
      <protection locked="0"/>
    </xf>
    <xf numFmtId="0" fontId="9" fillId="8" borderId="12" xfId="0" applyFont="1" applyFill="1" applyBorder="1" applyAlignment="1">
      <alignment horizontal="center" vertical="center"/>
    </xf>
    <xf numFmtId="0" fontId="11" fillId="0" borderId="10" xfId="0" applyFont="1" applyFill="1" applyBorder="1" applyAlignment="1" applyProtection="1">
      <alignment horizontal="left" vertical="top" wrapText="1"/>
      <protection/>
    </xf>
    <xf numFmtId="0" fontId="11" fillId="0" borderId="13" xfId="0" applyFont="1" applyFill="1" applyBorder="1" applyAlignment="1" applyProtection="1">
      <alignment horizontal="left" vertical="top" wrapText="1"/>
      <protection/>
    </xf>
    <xf numFmtId="0" fontId="11" fillId="0" borderId="14" xfId="0" applyFont="1" applyFill="1" applyBorder="1" applyAlignment="1" applyProtection="1">
      <alignment horizontal="left" vertical="top" wrapText="1"/>
      <protection/>
    </xf>
    <xf numFmtId="0" fontId="9" fillId="8" borderId="15" xfId="0" applyFont="1" applyFill="1" applyBorder="1" applyAlignment="1">
      <alignment horizontal="center" vertical="center"/>
    </xf>
    <xf numFmtId="0" fontId="9" fillId="8" borderId="16" xfId="0" applyFont="1" applyFill="1" applyBorder="1" applyAlignment="1">
      <alignment horizontal="center" vertical="center"/>
    </xf>
    <xf numFmtId="0" fontId="7" fillId="8" borderId="17"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100" fillId="33" borderId="0" xfId="0" applyFont="1" applyFill="1" applyBorder="1" applyAlignment="1" applyProtection="1">
      <alignment horizontal="left" vertical="top"/>
      <protection locked="0"/>
    </xf>
    <xf numFmtId="0" fontId="4" fillId="8" borderId="18" xfId="0" applyFont="1" applyFill="1" applyBorder="1" applyAlignment="1" applyProtection="1">
      <alignment horizontal="left" vertical="top" wrapText="1"/>
      <protection locked="0"/>
    </xf>
    <xf numFmtId="0" fontId="9" fillId="8" borderId="18" xfId="0" applyFont="1" applyFill="1" applyBorder="1" applyAlignment="1">
      <alignment horizontal="center" vertical="center"/>
    </xf>
    <xf numFmtId="0" fontId="11" fillId="0" borderId="19" xfId="0" applyFont="1" applyFill="1" applyBorder="1" applyAlignment="1" applyProtection="1">
      <alignment horizontal="left" vertical="top" wrapText="1"/>
      <protection/>
    </xf>
    <xf numFmtId="0" fontId="11" fillId="34" borderId="19" xfId="0" applyFont="1" applyFill="1" applyBorder="1" applyAlignment="1" applyProtection="1">
      <alignment horizontal="left" vertical="top" wrapText="1"/>
      <protection/>
    </xf>
    <xf numFmtId="0" fontId="11" fillId="0" borderId="11" xfId="0" applyFont="1" applyFill="1" applyBorder="1" applyAlignment="1" applyProtection="1">
      <alignment horizontal="left" vertical="top" wrapText="1"/>
      <protection/>
    </xf>
    <xf numFmtId="0" fontId="101" fillId="0" borderId="13" xfId="0" applyFont="1" applyFill="1" applyBorder="1" applyAlignment="1" applyProtection="1">
      <alignment horizontal="left" vertical="top" wrapText="1"/>
      <protection/>
    </xf>
    <xf numFmtId="0" fontId="101" fillId="0" borderId="10" xfId="0" applyFont="1" applyFill="1" applyBorder="1" applyAlignment="1" applyProtection="1">
      <alignment horizontal="left" vertical="top" wrapText="1"/>
      <protection/>
    </xf>
    <xf numFmtId="0" fontId="7" fillId="8" borderId="11" xfId="0" applyFont="1" applyFill="1" applyBorder="1" applyAlignment="1" applyProtection="1">
      <alignment horizontal="right"/>
      <protection locked="0"/>
    </xf>
    <xf numFmtId="0" fontId="100" fillId="0" borderId="0" xfId="0" applyFont="1" applyFill="1" applyBorder="1" applyAlignment="1" applyProtection="1">
      <alignment horizontal="left" vertical="top"/>
      <protection locked="0"/>
    </xf>
    <xf numFmtId="171" fontId="3" fillId="0" borderId="0" xfId="44" applyNumberFormat="1" applyFont="1" applyFill="1" applyBorder="1" applyAlignment="1" applyProtection="1">
      <alignment horizontal="right" wrapText="1"/>
      <protection locked="0"/>
    </xf>
    <xf numFmtId="171" fontId="3" fillId="0" borderId="0" xfId="44" applyNumberFormat="1" applyFont="1" applyFill="1" applyBorder="1" applyAlignment="1" applyProtection="1">
      <alignment horizontal="right"/>
      <protection locked="0"/>
    </xf>
    <xf numFmtId="171" fontId="5" fillId="2" borderId="10" xfId="44" applyNumberFormat="1" applyFont="1" applyFill="1" applyBorder="1" applyAlignment="1" applyProtection="1">
      <alignment horizontal="right"/>
      <protection locked="0"/>
    </xf>
    <xf numFmtId="171" fontId="2" fillId="0" borderId="0" xfId="44" applyNumberFormat="1" applyFont="1" applyFill="1" applyBorder="1" applyAlignment="1" applyProtection="1">
      <alignment horizontal="right" wrapText="1"/>
      <protection locked="0"/>
    </xf>
    <xf numFmtId="171" fontId="5" fillId="0" borderId="10" xfId="44" applyNumberFormat="1" applyFont="1" applyFill="1" applyBorder="1" applyAlignment="1" applyProtection="1">
      <alignment horizontal="right"/>
      <protection locked="0"/>
    </xf>
    <xf numFmtId="0" fontId="100" fillId="0" borderId="0" xfId="0" applyFont="1" applyFill="1" applyBorder="1" applyAlignment="1" applyProtection="1">
      <alignment/>
      <protection locked="0"/>
    </xf>
    <xf numFmtId="171" fontId="2" fillId="0" borderId="0" xfId="44" applyNumberFormat="1" applyFont="1" applyFill="1" applyBorder="1" applyAlignment="1" applyProtection="1">
      <alignment horizontal="right"/>
      <protection locked="0"/>
    </xf>
    <xf numFmtId="171" fontId="5" fillId="4" borderId="10" xfId="44" applyNumberFormat="1" applyFont="1" applyFill="1" applyBorder="1" applyAlignment="1" applyProtection="1">
      <alignment horizontal="right"/>
      <protection locked="0"/>
    </xf>
    <xf numFmtId="0" fontId="4" fillId="8" borderId="20" xfId="0" applyFont="1" applyFill="1" applyBorder="1" applyAlignment="1" applyProtection="1">
      <alignment horizontal="center" wrapText="1"/>
      <protection locked="0"/>
    </xf>
    <xf numFmtId="0" fontId="4" fillId="8" borderId="18" xfId="0" applyFont="1" applyFill="1" applyBorder="1" applyAlignment="1" applyProtection="1">
      <alignment horizontal="center" wrapText="1"/>
      <protection locked="0"/>
    </xf>
    <xf numFmtId="0" fontId="2" fillId="33" borderId="0" xfId="0" applyFont="1" applyFill="1" applyBorder="1" applyAlignment="1" applyProtection="1">
      <alignment/>
      <protection locked="0"/>
    </xf>
    <xf numFmtId="0" fontId="100" fillId="33" borderId="0" xfId="0" applyFont="1" applyFill="1" applyBorder="1" applyAlignment="1" applyProtection="1">
      <alignment/>
      <protection locked="0"/>
    </xf>
    <xf numFmtId="0" fontId="2" fillId="33" borderId="0" xfId="0" applyFont="1" applyFill="1" applyBorder="1" applyAlignment="1" applyProtection="1">
      <alignment horizontal="center"/>
      <protection locked="0"/>
    </xf>
    <xf numFmtId="171" fontId="2" fillId="33" borderId="0" xfId="44" applyNumberFormat="1" applyFont="1" applyFill="1" applyBorder="1" applyAlignment="1" applyProtection="1">
      <alignment horizontal="right"/>
      <protection locked="0"/>
    </xf>
    <xf numFmtId="0" fontId="2" fillId="33" borderId="0" xfId="0" applyFont="1" applyFill="1" applyBorder="1" applyAlignment="1" applyProtection="1">
      <alignment horizontal="right"/>
      <protection locked="0"/>
    </xf>
    <xf numFmtId="0" fontId="3" fillId="33" borderId="0" xfId="0" applyFont="1" applyFill="1" applyBorder="1" applyAlignment="1" applyProtection="1">
      <alignment horizontal="right"/>
      <protection locked="0"/>
    </xf>
    <xf numFmtId="171" fontId="3" fillId="33" borderId="0" xfId="44" applyNumberFormat="1" applyFont="1" applyFill="1" applyBorder="1" applyAlignment="1" applyProtection="1">
      <alignment horizontal="right"/>
      <protection locked="0"/>
    </xf>
    <xf numFmtId="171" fontId="3" fillId="33" borderId="0" xfId="44" applyNumberFormat="1" applyFont="1" applyFill="1" applyBorder="1" applyAlignment="1" applyProtection="1">
      <alignment horizontal="right" wrapText="1"/>
      <protection locked="0"/>
    </xf>
    <xf numFmtId="171" fontId="2" fillId="33" borderId="0" xfId="44" applyNumberFormat="1" applyFont="1" applyFill="1" applyBorder="1" applyAlignment="1" applyProtection="1">
      <alignment horizontal="right" wrapText="1"/>
      <protection locked="0"/>
    </xf>
    <xf numFmtId="0" fontId="5" fillId="33" borderId="0" xfId="0" applyFont="1" applyFill="1" applyBorder="1" applyAlignment="1">
      <alignment wrapText="1"/>
    </xf>
    <xf numFmtId="0" fontId="2" fillId="33" borderId="0" xfId="0" applyFont="1" applyFill="1" applyBorder="1" applyAlignment="1" applyProtection="1">
      <alignment vertical="center"/>
      <protection locked="0"/>
    </xf>
    <xf numFmtId="0" fontId="5" fillId="33" borderId="0" xfId="0" applyFont="1" applyFill="1" applyBorder="1" applyAlignment="1">
      <alignment vertical="center" wrapText="1"/>
    </xf>
    <xf numFmtId="0" fontId="7" fillId="33" borderId="0" xfId="0" applyFont="1" applyFill="1" applyBorder="1" applyAlignment="1" applyProtection="1">
      <alignment vertical="center"/>
      <protection locked="0"/>
    </xf>
    <xf numFmtId="171" fontId="5" fillId="34" borderId="10" xfId="44" applyNumberFormat="1" applyFont="1" applyFill="1" applyBorder="1" applyAlignment="1" applyProtection="1">
      <alignment horizontal="right"/>
      <protection locked="0"/>
    </xf>
    <xf numFmtId="171" fontId="5" fillId="33" borderId="0" xfId="44" applyNumberFormat="1" applyFont="1" applyFill="1" applyBorder="1" applyAlignment="1" applyProtection="1">
      <alignment horizontal="right" wrapText="1"/>
      <protection locked="0"/>
    </xf>
    <xf numFmtId="171" fontId="5" fillId="0" borderId="0" xfId="44" applyNumberFormat="1" applyFont="1" applyFill="1" applyBorder="1" applyAlignment="1" applyProtection="1">
      <alignment horizontal="right" wrapText="1"/>
      <protection locked="0"/>
    </xf>
    <xf numFmtId="0" fontId="100" fillId="33" borderId="0" xfId="0" applyFont="1" applyFill="1" applyBorder="1" applyAlignment="1" applyProtection="1">
      <alignment horizontal="left"/>
      <protection locked="0"/>
    </xf>
    <xf numFmtId="0" fontId="100" fillId="0" borderId="0" xfId="0" applyFont="1" applyFill="1" applyBorder="1" applyAlignment="1" applyProtection="1">
      <alignment horizontal="left"/>
      <protection locked="0"/>
    </xf>
    <xf numFmtId="171" fontId="5" fillId="34" borderId="21" xfId="44" applyNumberFormat="1" applyFont="1" applyFill="1" applyBorder="1" applyAlignment="1" applyProtection="1">
      <alignment horizontal="center" wrapText="1"/>
      <protection locked="0"/>
    </xf>
    <xf numFmtId="0" fontId="5" fillId="0" borderId="0" xfId="0" applyFont="1" applyFill="1" applyBorder="1" applyAlignment="1" applyProtection="1">
      <alignment horizontal="center" wrapText="1"/>
      <protection locked="0"/>
    </xf>
    <xf numFmtId="171" fontId="5" fillId="8" borderId="15" xfId="44" applyNumberFormat="1" applyFont="1" applyFill="1" applyBorder="1" applyAlignment="1" applyProtection="1">
      <alignment horizontal="center" wrapText="1"/>
      <protection locked="0"/>
    </xf>
    <xf numFmtId="171" fontId="5" fillId="34" borderId="11" xfId="44" applyNumberFormat="1" applyFont="1" applyFill="1" applyBorder="1" applyAlignment="1" applyProtection="1">
      <alignment horizontal="right"/>
      <protection locked="0"/>
    </xf>
    <xf numFmtId="0" fontId="102" fillId="0" borderId="0" xfId="0" applyFont="1" applyFill="1" applyBorder="1" applyAlignment="1" applyProtection="1">
      <alignment/>
      <protection locked="0"/>
    </xf>
    <xf numFmtId="0" fontId="5" fillId="0" borderId="0" xfId="0" applyFont="1" applyFill="1" applyBorder="1" applyAlignment="1" applyProtection="1">
      <alignment horizontal="center"/>
      <protection locked="0"/>
    </xf>
    <xf numFmtId="0" fontId="5" fillId="0" borderId="0" xfId="0" applyFont="1" applyFill="1" applyBorder="1" applyAlignment="1" applyProtection="1">
      <alignment horizontal="center" vertical="center" wrapText="1"/>
      <protection locked="0"/>
    </xf>
    <xf numFmtId="171" fontId="5" fillId="34" borderId="14" xfId="44" applyNumberFormat="1" applyFont="1" applyFill="1" applyBorder="1" applyAlignment="1" applyProtection="1">
      <alignment horizontal="right"/>
      <protection locked="0"/>
    </xf>
    <xf numFmtId="171" fontId="5" fillId="0" borderId="14" xfId="44" applyNumberFormat="1" applyFont="1" applyFill="1" applyBorder="1" applyAlignment="1" applyProtection="1">
      <alignment horizontal="right"/>
      <protection locked="0"/>
    </xf>
    <xf numFmtId="171" fontId="5" fillId="4" borderId="14" xfId="44" applyNumberFormat="1" applyFont="1" applyFill="1" applyBorder="1" applyAlignment="1" applyProtection="1">
      <alignment horizontal="right"/>
      <protection locked="0"/>
    </xf>
    <xf numFmtId="171" fontId="5" fillId="0" borderId="14" xfId="44" applyNumberFormat="1" applyFont="1" applyFill="1" applyBorder="1" applyAlignment="1" applyProtection="1">
      <alignment vertical="center"/>
      <protection locked="0"/>
    </xf>
    <xf numFmtId="171" fontId="5" fillId="34" borderId="22" xfId="44" applyNumberFormat="1" applyFont="1" applyFill="1" applyBorder="1" applyAlignment="1" applyProtection="1">
      <alignment vertical="center"/>
      <protection locked="0"/>
    </xf>
    <xf numFmtId="171" fontId="5" fillId="0" borderId="15" xfId="44" applyNumberFormat="1" applyFont="1" applyFill="1" applyBorder="1" applyAlignment="1" applyProtection="1">
      <alignment vertical="center"/>
      <protection locked="0"/>
    </xf>
    <xf numFmtId="171" fontId="5" fillId="0" borderId="10" xfId="44" applyNumberFormat="1" applyFont="1" applyFill="1" applyBorder="1" applyAlignment="1" applyProtection="1">
      <alignment vertical="center"/>
      <protection locked="0"/>
    </xf>
    <xf numFmtId="171" fontId="5" fillId="0" borderId="21" xfId="44" applyNumberFormat="1" applyFont="1" applyFill="1" applyBorder="1" applyAlignment="1" applyProtection="1">
      <alignment vertical="center"/>
      <protection locked="0"/>
    </xf>
    <xf numFmtId="0" fontId="5" fillId="0" borderId="0" xfId="0" applyFont="1" applyFill="1" applyBorder="1" applyAlignment="1" applyProtection="1">
      <alignment/>
      <protection locked="0"/>
    </xf>
    <xf numFmtId="0" fontId="3" fillId="0" borderId="23" xfId="0" applyFont="1" applyFill="1" applyBorder="1" applyAlignment="1" applyProtection="1">
      <alignment wrapText="1"/>
      <protection locked="0"/>
    </xf>
    <xf numFmtId="0" fontId="3" fillId="4" borderId="23" xfId="0" applyFont="1" applyFill="1" applyBorder="1" applyAlignment="1" applyProtection="1">
      <alignment wrapText="1"/>
      <protection locked="0"/>
    </xf>
    <xf numFmtId="0" fontId="3" fillId="34" borderId="23" xfId="0" applyFont="1" applyFill="1" applyBorder="1" applyAlignment="1" applyProtection="1">
      <alignment wrapText="1"/>
      <protection locked="0"/>
    </xf>
    <xf numFmtId="0" fontId="5" fillId="34" borderId="23" xfId="0" applyFont="1" applyFill="1" applyBorder="1" applyAlignment="1" applyProtection="1">
      <alignment wrapText="1"/>
      <protection locked="0"/>
    </xf>
    <xf numFmtId="171" fontId="5" fillId="0" borderId="11" xfId="44" applyNumberFormat="1" applyFont="1" applyFill="1" applyBorder="1" applyAlignment="1" applyProtection="1">
      <alignment vertical="center"/>
      <protection locked="0"/>
    </xf>
    <xf numFmtId="171" fontId="5" fillId="0" borderId="11" xfId="44" applyNumberFormat="1" applyFont="1" applyFill="1" applyBorder="1" applyAlignment="1" applyProtection="1">
      <alignment horizontal="right"/>
      <protection locked="0"/>
    </xf>
    <xf numFmtId="171" fontId="5" fillId="4" borderId="11" xfId="44" applyNumberFormat="1" applyFont="1" applyFill="1" applyBorder="1" applyAlignment="1" applyProtection="1">
      <alignment horizontal="right"/>
      <protection locked="0"/>
    </xf>
    <xf numFmtId="0" fontId="5" fillId="0" borderId="24" xfId="0" applyFont="1" applyFill="1" applyBorder="1" applyAlignment="1" applyProtection="1">
      <alignment/>
      <protection locked="0"/>
    </xf>
    <xf numFmtId="171" fontId="5" fillId="0" borderId="13" xfId="44" applyNumberFormat="1" applyFont="1" applyFill="1" applyBorder="1" applyAlignment="1" applyProtection="1">
      <alignment horizontal="right"/>
      <protection locked="0"/>
    </xf>
    <xf numFmtId="171" fontId="5" fillId="34" borderId="13" xfId="44" applyNumberFormat="1" applyFont="1" applyFill="1" applyBorder="1" applyAlignment="1" applyProtection="1">
      <alignment horizontal="right"/>
      <protection locked="0"/>
    </xf>
    <xf numFmtId="171" fontId="5" fillId="4" borderId="13" xfId="44" applyNumberFormat="1" applyFont="1" applyFill="1" applyBorder="1" applyAlignment="1" applyProtection="1">
      <alignment horizontal="right"/>
      <protection locked="0"/>
    </xf>
    <xf numFmtId="171" fontId="5" fillId="0" borderId="13" xfId="44" applyNumberFormat="1" applyFont="1" applyFill="1" applyBorder="1" applyAlignment="1" applyProtection="1">
      <alignment vertical="center"/>
      <protection locked="0"/>
    </xf>
    <xf numFmtId="171" fontId="5" fillId="33" borderId="14" xfId="44" applyNumberFormat="1" applyFont="1" applyFill="1" applyBorder="1" applyAlignment="1" applyProtection="1">
      <alignment horizontal="right"/>
      <protection locked="0"/>
    </xf>
    <xf numFmtId="0" fontId="3" fillId="0" borderId="12" xfId="0" applyFont="1" applyFill="1" applyBorder="1" applyAlignment="1" applyProtection="1">
      <alignment wrapText="1"/>
      <protection locked="0"/>
    </xf>
    <xf numFmtId="0" fontId="3" fillId="4" borderId="12" xfId="0" applyFont="1" applyFill="1" applyBorder="1" applyAlignment="1" applyProtection="1">
      <alignment wrapText="1"/>
      <protection locked="0"/>
    </xf>
    <xf numFmtId="0" fontId="3" fillId="34" borderId="12" xfId="0" applyFont="1" applyFill="1" applyBorder="1" applyAlignment="1" applyProtection="1">
      <alignment wrapText="1"/>
      <protection locked="0"/>
    </xf>
    <xf numFmtId="0" fontId="5" fillId="34" borderId="12" xfId="0" applyFont="1" applyFill="1" applyBorder="1" applyAlignment="1" applyProtection="1">
      <alignment wrapText="1"/>
      <protection locked="0"/>
    </xf>
    <xf numFmtId="171" fontId="5" fillId="0" borderId="19" xfId="44" applyNumberFormat="1" applyFont="1" applyFill="1" applyBorder="1" applyAlignment="1" applyProtection="1">
      <alignment horizontal="right"/>
      <protection locked="0"/>
    </xf>
    <xf numFmtId="171" fontId="5" fillId="34" borderId="19" xfId="44" applyNumberFormat="1" applyFont="1" applyFill="1" applyBorder="1" applyAlignment="1" applyProtection="1">
      <alignment horizontal="right"/>
      <protection locked="0"/>
    </xf>
    <xf numFmtId="171" fontId="5" fillId="4" borderId="19" xfId="44" applyNumberFormat="1" applyFont="1" applyFill="1" applyBorder="1" applyAlignment="1" applyProtection="1">
      <alignment horizontal="right"/>
      <protection locked="0"/>
    </xf>
    <xf numFmtId="171" fontId="5" fillId="0" borderId="19" xfId="44" applyNumberFormat="1" applyFont="1" applyFill="1" applyBorder="1" applyAlignment="1" applyProtection="1">
      <alignment vertical="center"/>
      <protection locked="0"/>
    </xf>
    <xf numFmtId="171" fontId="5" fillId="0" borderId="25" xfId="44" applyNumberFormat="1" applyFont="1" applyFill="1" applyBorder="1" applyAlignment="1" applyProtection="1">
      <alignment vertical="center"/>
      <protection locked="0"/>
    </xf>
    <xf numFmtId="0" fontId="103" fillId="33" borderId="10" xfId="0" applyFont="1" applyFill="1" applyBorder="1" applyAlignment="1" applyProtection="1">
      <alignment horizontal="right"/>
      <protection locked="0"/>
    </xf>
    <xf numFmtId="0" fontId="5" fillId="8" borderId="12" xfId="0" applyFont="1" applyFill="1" applyBorder="1" applyAlignment="1">
      <alignment horizontal="center" vertical="center"/>
    </xf>
    <xf numFmtId="0" fontId="5" fillId="34" borderId="12" xfId="0" applyFont="1" applyFill="1" applyBorder="1" applyAlignment="1">
      <alignment horizontal="center" vertical="center"/>
    </xf>
    <xf numFmtId="0" fontId="5" fillId="34" borderId="16" xfId="0" applyFont="1" applyFill="1" applyBorder="1" applyAlignment="1">
      <alignment horizontal="center" vertical="center"/>
    </xf>
    <xf numFmtId="0" fontId="5" fillId="8" borderId="15" xfId="0" applyFont="1" applyFill="1" applyBorder="1" applyAlignment="1">
      <alignment horizontal="center" vertical="center"/>
    </xf>
    <xf numFmtId="0" fontId="5" fillId="8" borderId="16" xfId="0" applyFont="1" applyFill="1" applyBorder="1" applyAlignment="1">
      <alignment horizontal="center" vertical="center"/>
    </xf>
    <xf numFmtId="0" fontId="3" fillId="0" borderId="14" xfId="0" applyFont="1" applyFill="1" applyBorder="1" applyAlignment="1" applyProtection="1">
      <alignment horizontal="left" vertical="top" wrapText="1"/>
      <protection/>
    </xf>
    <xf numFmtId="0" fontId="3" fillId="0" borderId="10" xfId="0" applyFont="1" applyFill="1" applyBorder="1" applyAlignment="1" applyProtection="1">
      <alignment horizontal="left" vertical="top" wrapText="1"/>
      <protection/>
    </xf>
    <xf numFmtId="0" fontId="104" fillId="0" borderId="11" xfId="0" applyFont="1" applyBorder="1" applyAlignment="1">
      <alignment wrapText="1"/>
    </xf>
    <xf numFmtId="0" fontId="104" fillId="0" borderId="0" xfId="0" applyFont="1" applyBorder="1" applyAlignment="1">
      <alignment wrapText="1"/>
    </xf>
    <xf numFmtId="0" fontId="3" fillId="0" borderId="11" xfId="0" applyFont="1" applyFill="1" applyBorder="1" applyAlignment="1" applyProtection="1">
      <alignment horizontal="left" vertical="top" wrapText="1"/>
      <protection/>
    </xf>
    <xf numFmtId="0" fontId="105" fillId="34" borderId="14" xfId="0" applyFont="1" applyFill="1" applyBorder="1" applyAlignment="1">
      <alignment wrapText="1"/>
    </xf>
    <xf numFmtId="0" fontId="105" fillId="0" borderId="14" xfId="0" applyFont="1" applyBorder="1" applyAlignment="1">
      <alignment wrapText="1"/>
    </xf>
    <xf numFmtId="0" fontId="104" fillId="0" borderId="14" xfId="0" applyFont="1" applyFill="1" applyBorder="1" applyAlignment="1" applyProtection="1">
      <alignment horizontal="left" vertical="top" wrapText="1"/>
      <protection/>
    </xf>
    <xf numFmtId="0" fontId="3" fillId="0" borderId="13" xfId="0" applyFont="1" applyFill="1" applyBorder="1" applyAlignment="1" applyProtection="1">
      <alignment horizontal="left" vertical="top" wrapText="1"/>
      <protection/>
    </xf>
    <xf numFmtId="0" fontId="104" fillId="0" borderId="10" xfId="0" applyFont="1" applyFill="1" applyBorder="1" applyAlignment="1" applyProtection="1">
      <alignment horizontal="left" vertical="top" wrapText="1"/>
      <protection/>
    </xf>
    <xf numFmtId="0" fontId="105" fillId="0" borderId="0" xfId="0" applyFont="1" applyAlignment="1">
      <alignment wrapText="1"/>
    </xf>
    <xf numFmtId="0" fontId="3" fillId="0" borderId="26" xfId="0" applyFont="1" applyFill="1" applyBorder="1" applyAlignment="1" applyProtection="1">
      <alignment horizontal="center" vertical="top" wrapText="1"/>
      <protection/>
    </xf>
    <xf numFmtId="0" fontId="3" fillId="0" borderId="27" xfId="0" applyFont="1" applyFill="1" applyBorder="1" applyAlignment="1" applyProtection="1">
      <alignment horizontal="left" vertical="top" wrapText="1"/>
      <protection/>
    </xf>
    <xf numFmtId="0" fontId="3" fillId="0" borderId="28" xfId="0" applyFont="1" applyFill="1" applyBorder="1" applyAlignment="1" applyProtection="1">
      <alignment horizontal="left" vertical="top" wrapText="1"/>
      <protection/>
    </xf>
    <xf numFmtId="0" fontId="3" fillId="0" borderId="12" xfId="0" applyFont="1" applyFill="1" applyBorder="1" applyAlignment="1" applyProtection="1">
      <alignment horizontal="left" vertical="top" wrapText="1"/>
      <protection/>
    </xf>
    <xf numFmtId="0" fontId="3" fillId="0" borderId="13" xfId="0" applyFont="1" applyFill="1" applyBorder="1" applyAlignment="1" applyProtection="1">
      <alignment horizontal="center" vertical="top" wrapText="1"/>
      <protection/>
    </xf>
    <xf numFmtId="171" fontId="5" fillId="35" borderId="14" xfId="44" applyNumberFormat="1" applyFont="1" applyFill="1" applyBorder="1" applyAlignment="1" applyProtection="1">
      <alignment horizontal="right"/>
      <protection locked="0"/>
    </xf>
    <xf numFmtId="0" fontId="98" fillId="36" borderId="10" xfId="0" applyFont="1" applyFill="1" applyBorder="1" applyAlignment="1" applyProtection="1">
      <alignment/>
      <protection locked="0"/>
    </xf>
    <xf numFmtId="0" fontId="7" fillId="36" borderId="10" xfId="0" applyFont="1" applyFill="1" applyBorder="1" applyAlignment="1" applyProtection="1">
      <alignment horizontal="center"/>
      <protection locked="0"/>
    </xf>
    <xf numFmtId="171" fontId="7" fillId="36" borderId="10" xfId="44" applyNumberFormat="1" applyFont="1" applyFill="1" applyBorder="1" applyAlignment="1" applyProtection="1">
      <alignment horizontal="right" wrapText="1"/>
      <protection locked="0"/>
    </xf>
    <xf numFmtId="0" fontId="3" fillId="0" borderId="29" xfId="0" applyFont="1" applyFill="1" applyBorder="1" applyAlignment="1" applyProtection="1">
      <alignment horizontal="left" vertical="top" wrapText="1"/>
      <protection/>
    </xf>
    <xf numFmtId="0" fontId="104" fillId="0" borderId="11" xfId="0" applyFont="1" applyFill="1" applyBorder="1" applyAlignment="1" applyProtection="1">
      <alignment horizontal="left" vertical="top" wrapText="1"/>
      <protection/>
    </xf>
    <xf numFmtId="0" fontId="2" fillId="33" borderId="0" xfId="0" applyFont="1" applyFill="1" applyBorder="1" applyAlignment="1" applyProtection="1">
      <alignment horizontal="center" vertical="center"/>
      <protection locked="0"/>
    </xf>
    <xf numFmtId="171" fontId="5" fillId="2" borderId="14" xfId="44" applyNumberFormat="1" applyFont="1" applyFill="1" applyBorder="1" applyAlignment="1" applyProtection="1">
      <alignment horizontal="right"/>
      <protection locked="0"/>
    </xf>
    <xf numFmtId="0" fontId="5" fillId="2" borderId="14" xfId="0" applyFont="1" applyFill="1" applyBorder="1" applyAlignment="1" applyProtection="1">
      <alignment horizontal="right"/>
      <protection locked="0"/>
    </xf>
    <xf numFmtId="171" fontId="5" fillId="34" borderId="14" xfId="0" applyNumberFormat="1" applyFont="1" applyFill="1" applyBorder="1" applyAlignment="1" applyProtection="1">
      <alignment horizontal="right"/>
      <protection locked="0"/>
    </xf>
    <xf numFmtId="0" fontId="5" fillId="0" borderId="14" xfId="0" applyFont="1" applyFill="1" applyBorder="1" applyAlignment="1" applyProtection="1">
      <alignment horizontal="right"/>
      <protection locked="0"/>
    </xf>
    <xf numFmtId="171" fontId="5" fillId="2" borderId="13" xfId="44" applyNumberFormat="1" applyFont="1" applyFill="1" applyBorder="1" applyAlignment="1" applyProtection="1">
      <alignment horizontal="right"/>
      <protection locked="0"/>
    </xf>
    <xf numFmtId="0" fontId="5" fillId="2" borderId="13" xfId="0" applyFont="1" applyFill="1" applyBorder="1" applyAlignment="1" applyProtection="1">
      <alignment horizontal="right"/>
      <protection locked="0"/>
    </xf>
    <xf numFmtId="0" fontId="3" fillId="0" borderId="10" xfId="0" applyFont="1" applyFill="1" applyBorder="1" applyAlignment="1" applyProtection="1">
      <alignment horizontal="left" vertical="center" wrapText="1"/>
      <protection/>
    </xf>
    <xf numFmtId="171" fontId="5" fillId="2" borderId="11" xfId="44" applyNumberFormat="1" applyFont="1" applyFill="1" applyBorder="1" applyAlignment="1" applyProtection="1">
      <alignment horizontal="right"/>
      <protection locked="0"/>
    </xf>
    <xf numFmtId="0" fontId="3" fillId="2" borderId="23" xfId="0" applyFont="1" applyFill="1" applyBorder="1" applyAlignment="1" applyProtection="1">
      <alignment wrapText="1"/>
      <protection locked="0"/>
    </xf>
    <xf numFmtId="0" fontId="5" fillId="0" borderId="11" xfId="0" applyFont="1" applyFill="1" applyBorder="1" applyAlignment="1" applyProtection="1">
      <alignment horizontal="right"/>
      <protection locked="0"/>
    </xf>
    <xf numFmtId="0" fontId="5" fillId="0" borderId="23" xfId="0" applyFont="1" applyFill="1" applyBorder="1" applyAlignment="1" applyProtection="1">
      <alignment horizontal="right"/>
      <protection locked="0"/>
    </xf>
    <xf numFmtId="0" fontId="5" fillId="2" borderId="11" xfId="0" applyFont="1" applyFill="1" applyBorder="1" applyAlignment="1" applyProtection="1">
      <alignment horizontal="right"/>
      <protection locked="0"/>
    </xf>
    <xf numFmtId="0" fontId="5" fillId="0" borderId="23" xfId="0" applyFont="1" applyFill="1" applyBorder="1" applyAlignment="1" applyProtection="1">
      <alignment wrapText="1"/>
      <protection locked="0"/>
    </xf>
    <xf numFmtId="0" fontId="5" fillId="0" borderId="13" xfId="0" applyFont="1" applyFill="1" applyBorder="1" applyAlignment="1" applyProtection="1">
      <alignment horizontal="right"/>
      <protection locked="0"/>
    </xf>
    <xf numFmtId="171" fontId="5" fillId="2" borderId="19" xfId="44" applyNumberFormat="1" applyFont="1" applyFill="1" applyBorder="1" applyAlignment="1" applyProtection="1">
      <alignment horizontal="right"/>
      <protection locked="0"/>
    </xf>
    <xf numFmtId="0" fontId="5" fillId="0" borderId="12" xfId="0" applyFont="1" applyFill="1" applyBorder="1" applyAlignment="1" applyProtection="1">
      <alignment horizontal="right"/>
      <protection locked="0"/>
    </xf>
    <xf numFmtId="0" fontId="3" fillId="2" borderId="12" xfId="0" applyFont="1" applyFill="1" applyBorder="1" applyAlignment="1" applyProtection="1">
      <alignment wrapText="1"/>
      <protection locked="0"/>
    </xf>
    <xf numFmtId="0" fontId="2" fillId="0" borderId="0" xfId="0" applyFont="1" applyFill="1" applyBorder="1" applyAlignment="1" applyProtection="1">
      <alignment horizontal="center" vertical="center"/>
      <protection locked="0"/>
    </xf>
    <xf numFmtId="0" fontId="10" fillId="33" borderId="30" xfId="0" applyFont="1" applyFill="1" applyBorder="1" applyAlignment="1">
      <alignment vertical="center" wrapText="1"/>
    </xf>
    <xf numFmtId="0" fontId="99" fillId="33" borderId="0" xfId="0" applyFont="1" applyFill="1" applyBorder="1" applyAlignment="1" applyProtection="1">
      <alignment/>
      <protection locked="0"/>
    </xf>
    <xf numFmtId="0" fontId="4" fillId="33" borderId="0" xfId="0" applyFont="1" applyFill="1" applyBorder="1" applyAlignment="1" applyProtection="1">
      <alignment horizontal="center"/>
      <protection locked="0"/>
    </xf>
    <xf numFmtId="0" fontId="4" fillId="33" borderId="0" xfId="0" applyFont="1" applyFill="1" applyBorder="1" applyAlignment="1" applyProtection="1">
      <alignment horizontal="center" wrapText="1"/>
      <protection locked="0"/>
    </xf>
    <xf numFmtId="0" fontId="4" fillId="33" borderId="0" xfId="0" applyFont="1" applyFill="1" applyBorder="1" applyAlignment="1" applyProtection="1">
      <alignment horizontal="center" vertical="center" wrapText="1"/>
      <protection locked="0"/>
    </xf>
    <xf numFmtId="0" fontId="4" fillId="33" borderId="0" xfId="0" applyFont="1" applyFill="1" applyBorder="1" applyAlignment="1" applyProtection="1">
      <alignment/>
      <protection locked="0"/>
    </xf>
    <xf numFmtId="0" fontId="6" fillId="33" borderId="0" xfId="0" applyFont="1" applyFill="1" applyBorder="1" applyAlignment="1" applyProtection="1">
      <alignment/>
      <protection locked="0"/>
    </xf>
    <xf numFmtId="0" fontId="3" fillId="33" borderId="0" xfId="0" applyFont="1" applyFill="1" applyBorder="1" applyAlignment="1" applyProtection="1">
      <alignment/>
      <protection locked="0"/>
    </xf>
    <xf numFmtId="0" fontId="7" fillId="33" borderId="0" xfId="0" applyFont="1" applyFill="1" applyBorder="1" applyAlignment="1" applyProtection="1">
      <alignment horizontal="left"/>
      <protection locked="0"/>
    </xf>
    <xf numFmtId="0" fontId="13" fillId="33" borderId="0" xfId="0" applyFont="1" applyFill="1" applyBorder="1" applyAlignment="1" applyProtection="1">
      <alignment/>
      <protection locked="0"/>
    </xf>
    <xf numFmtId="0" fontId="11" fillId="0" borderId="31" xfId="0" applyFont="1" applyFill="1" applyBorder="1" applyAlignment="1" applyProtection="1">
      <alignment horizontal="left" vertical="top" wrapText="1"/>
      <protection/>
    </xf>
    <xf numFmtId="0" fontId="4" fillId="8" borderId="0" xfId="0" applyFont="1" applyFill="1" applyBorder="1" applyAlignment="1" applyProtection="1">
      <alignment horizontal="center" vertical="center" wrapText="1"/>
      <protection locked="0"/>
    </xf>
    <xf numFmtId="0" fontId="5" fillId="0" borderId="26" xfId="58" applyFont="1" applyFill="1" applyBorder="1" applyAlignment="1" applyProtection="1">
      <alignment horizontal="center" vertical="center" wrapText="1"/>
      <protection/>
    </xf>
    <xf numFmtId="0" fontId="5" fillId="2" borderId="19" xfId="0" applyFont="1" applyFill="1" applyBorder="1" applyAlignment="1" applyProtection="1">
      <alignment horizontal="right"/>
      <protection locked="0"/>
    </xf>
    <xf numFmtId="0" fontId="5" fillId="0" borderId="19" xfId="0" applyFont="1" applyFill="1" applyBorder="1" applyAlignment="1" applyProtection="1">
      <alignment horizontal="right"/>
      <protection locked="0"/>
    </xf>
    <xf numFmtId="0" fontId="11" fillId="0" borderId="32" xfId="0" applyFont="1" applyFill="1" applyBorder="1" applyAlignment="1" applyProtection="1">
      <alignment vertical="center" wrapText="1"/>
      <protection/>
    </xf>
    <xf numFmtId="171" fontId="5" fillId="8" borderId="21" xfId="44" applyNumberFormat="1" applyFont="1" applyFill="1" applyBorder="1" applyAlignment="1" applyProtection="1">
      <alignment horizontal="center" wrapText="1"/>
      <protection locked="0"/>
    </xf>
    <xf numFmtId="171" fontId="4" fillId="8" borderId="15" xfId="44" applyNumberFormat="1" applyFont="1" applyFill="1" applyBorder="1" applyAlignment="1" applyProtection="1">
      <alignment horizontal="center" wrapText="1"/>
      <protection locked="0"/>
    </xf>
    <xf numFmtId="171" fontId="4" fillId="8" borderId="10" xfId="44" applyNumberFormat="1" applyFont="1" applyFill="1" applyBorder="1" applyAlignment="1" applyProtection="1">
      <alignment horizontal="center" wrapText="1"/>
      <protection locked="0"/>
    </xf>
    <xf numFmtId="171" fontId="4" fillId="8" borderId="21" xfId="44" applyNumberFormat="1" applyFont="1" applyFill="1" applyBorder="1" applyAlignment="1" applyProtection="1">
      <alignment horizontal="center" wrapText="1"/>
      <protection locked="0"/>
    </xf>
    <xf numFmtId="0" fontId="5" fillId="8" borderId="18" xfId="0" applyFont="1" applyFill="1" applyBorder="1" applyAlignment="1" applyProtection="1">
      <alignment horizontal="center" wrapText="1"/>
      <protection locked="0"/>
    </xf>
    <xf numFmtId="0" fontId="9" fillId="8" borderId="33" xfId="0" applyFont="1" applyFill="1" applyBorder="1" applyAlignment="1">
      <alignment horizontal="center" vertical="center"/>
    </xf>
    <xf numFmtId="171" fontId="5" fillId="34" borderId="10" xfId="0" applyNumberFormat="1" applyFont="1" applyFill="1" applyBorder="1" applyAlignment="1" applyProtection="1">
      <alignment horizontal="right"/>
      <protection locked="0"/>
    </xf>
    <xf numFmtId="171" fontId="5" fillId="0" borderId="34" xfId="44" applyNumberFormat="1" applyFont="1" applyFill="1" applyBorder="1" applyAlignment="1" applyProtection="1">
      <alignment vertical="center"/>
      <protection locked="0"/>
    </xf>
    <xf numFmtId="171" fontId="5" fillId="34" borderId="21" xfId="44" applyNumberFormat="1" applyFont="1" applyFill="1" applyBorder="1" applyAlignment="1" applyProtection="1">
      <alignment vertical="center"/>
      <protection locked="0"/>
    </xf>
    <xf numFmtId="171" fontId="4" fillId="0" borderId="15" xfId="44" applyNumberFormat="1" applyFont="1" applyFill="1" applyBorder="1" applyAlignment="1" applyProtection="1">
      <alignment vertical="center"/>
      <protection locked="0"/>
    </xf>
    <xf numFmtId="171" fontId="4" fillId="0" borderId="10" xfId="44" applyNumberFormat="1" applyFont="1" applyFill="1" applyBorder="1" applyAlignment="1" applyProtection="1">
      <alignment vertical="center"/>
      <protection locked="0"/>
    </xf>
    <xf numFmtId="171" fontId="4" fillId="0" borderId="21" xfId="44" applyNumberFormat="1" applyFont="1" applyFill="1" applyBorder="1" applyAlignment="1" applyProtection="1">
      <alignment vertical="center"/>
      <protection locked="0"/>
    </xf>
    <xf numFmtId="0" fontId="11" fillId="37" borderId="10" xfId="0" applyFont="1" applyFill="1" applyBorder="1" applyAlignment="1" applyProtection="1">
      <alignment horizontal="left" vertical="top" wrapText="1"/>
      <protection/>
    </xf>
    <xf numFmtId="43" fontId="5" fillId="0" borderId="10" xfId="44" applyFont="1" applyFill="1" applyBorder="1" applyAlignment="1" applyProtection="1">
      <alignment vertical="center"/>
      <protection locked="0"/>
    </xf>
    <xf numFmtId="0" fontId="5" fillId="2" borderId="18" xfId="0" applyFont="1" applyFill="1" applyBorder="1" applyAlignment="1" applyProtection="1">
      <alignment horizontal="right"/>
      <protection locked="0"/>
    </xf>
    <xf numFmtId="171" fontId="5" fillId="0" borderId="18" xfId="44" applyNumberFormat="1" applyFont="1" applyFill="1" applyBorder="1" applyAlignment="1" applyProtection="1">
      <alignment horizontal="right"/>
      <protection locked="0"/>
    </xf>
    <xf numFmtId="171" fontId="5" fillId="4" borderId="18" xfId="44" applyNumberFormat="1" applyFont="1" applyFill="1" applyBorder="1" applyAlignment="1" applyProtection="1">
      <alignment horizontal="right"/>
      <protection locked="0"/>
    </xf>
    <xf numFmtId="171" fontId="5" fillId="34" borderId="18" xfId="44" applyNumberFormat="1" applyFont="1" applyFill="1" applyBorder="1" applyAlignment="1" applyProtection="1">
      <alignment horizontal="right"/>
      <protection locked="0"/>
    </xf>
    <xf numFmtId="171" fontId="5" fillId="0" borderId="20" xfId="44" applyNumberFormat="1" applyFont="1" applyFill="1" applyBorder="1" applyAlignment="1" applyProtection="1">
      <alignment vertical="center"/>
      <protection locked="0"/>
    </xf>
    <xf numFmtId="0" fontId="5" fillId="0" borderId="18" xfId="0" applyFont="1" applyFill="1" applyBorder="1" applyAlignment="1" applyProtection="1">
      <alignment horizontal="right"/>
      <protection locked="0"/>
    </xf>
    <xf numFmtId="170" fontId="5" fillId="4" borderId="18" xfId="44" applyNumberFormat="1" applyFont="1" applyFill="1" applyBorder="1" applyAlignment="1" applyProtection="1">
      <alignment horizontal="right"/>
      <protection locked="0"/>
    </xf>
    <xf numFmtId="173" fontId="5" fillId="2" borderId="19" xfId="44" applyNumberFormat="1" applyFont="1" applyFill="1" applyBorder="1" applyAlignment="1" applyProtection="1">
      <alignment horizontal="right"/>
      <protection locked="0"/>
    </xf>
    <xf numFmtId="170" fontId="5" fillId="0" borderId="10" xfId="44" applyNumberFormat="1" applyFont="1" applyFill="1" applyBorder="1" applyAlignment="1" applyProtection="1">
      <alignment vertical="center"/>
      <protection locked="0"/>
    </xf>
    <xf numFmtId="171" fontId="5" fillId="34" borderId="11" xfId="0" applyNumberFormat="1" applyFont="1" applyFill="1" applyBorder="1" applyAlignment="1" applyProtection="1">
      <alignment horizontal="right"/>
      <protection locked="0"/>
    </xf>
    <xf numFmtId="43" fontId="103" fillId="34" borderId="23" xfId="44" applyFont="1" applyFill="1" applyBorder="1" applyAlignment="1" applyProtection="1">
      <alignment wrapText="1"/>
      <protection locked="0"/>
    </xf>
    <xf numFmtId="171" fontId="103" fillId="0" borderId="11" xfId="44" applyNumberFormat="1" applyFont="1" applyFill="1" applyBorder="1" applyAlignment="1" applyProtection="1">
      <alignment vertical="center"/>
      <protection locked="0"/>
    </xf>
    <xf numFmtId="171" fontId="103" fillId="0" borderId="20" xfId="44" applyNumberFormat="1" applyFont="1" applyFill="1" applyBorder="1" applyAlignment="1" applyProtection="1">
      <alignment vertical="center"/>
      <protection locked="0"/>
    </xf>
    <xf numFmtId="171" fontId="5" fillId="0" borderId="35" xfId="44" applyNumberFormat="1" applyFont="1" applyFill="1" applyBorder="1" applyAlignment="1" applyProtection="1">
      <alignment vertical="center"/>
      <protection locked="0"/>
    </xf>
    <xf numFmtId="171" fontId="5" fillId="34" borderId="13" xfId="0" applyNumberFormat="1" applyFont="1" applyFill="1" applyBorder="1" applyAlignment="1" applyProtection="1">
      <alignment horizontal="right"/>
      <protection locked="0"/>
    </xf>
    <xf numFmtId="43" fontId="5" fillId="0" borderId="13" xfId="44" applyFont="1" applyFill="1" applyBorder="1" applyAlignment="1" applyProtection="1">
      <alignment vertical="center"/>
      <protection locked="0"/>
    </xf>
    <xf numFmtId="171" fontId="5" fillId="33" borderId="11" xfId="44" applyNumberFormat="1" applyFont="1" applyFill="1" applyBorder="1" applyAlignment="1" applyProtection="1">
      <alignment vertical="center"/>
      <protection locked="0"/>
    </xf>
    <xf numFmtId="171" fontId="5" fillId="33" borderId="20" xfId="44" applyNumberFormat="1" applyFont="1" applyFill="1" applyBorder="1" applyAlignment="1" applyProtection="1">
      <alignment vertical="center"/>
      <protection locked="0"/>
    </xf>
    <xf numFmtId="171" fontId="5" fillId="33" borderId="10" xfId="44" applyNumberFormat="1" applyFont="1" applyFill="1" applyBorder="1" applyAlignment="1" applyProtection="1">
      <alignment vertical="center"/>
      <protection locked="0"/>
    </xf>
    <xf numFmtId="171" fontId="5" fillId="33" borderId="34" xfId="44" applyNumberFormat="1" applyFont="1" applyFill="1" applyBorder="1" applyAlignment="1" applyProtection="1">
      <alignment vertical="center"/>
      <protection locked="0"/>
    </xf>
    <xf numFmtId="171" fontId="5" fillId="34" borderId="19" xfId="0" applyNumberFormat="1" applyFont="1" applyFill="1" applyBorder="1" applyAlignment="1" applyProtection="1">
      <alignment horizontal="right"/>
      <protection locked="0"/>
    </xf>
    <xf numFmtId="171" fontId="7" fillId="8" borderId="11" xfId="44" applyNumberFormat="1" applyFont="1" applyFill="1" applyBorder="1" applyAlignment="1" applyProtection="1">
      <alignment horizontal="right"/>
      <protection locked="0"/>
    </xf>
    <xf numFmtId="171" fontId="7" fillId="34" borderId="11" xfId="44" applyNumberFormat="1" applyFont="1" applyFill="1" applyBorder="1" applyAlignment="1" applyProtection="1">
      <alignment horizontal="right"/>
      <protection locked="0"/>
    </xf>
    <xf numFmtId="0" fontId="100" fillId="33" borderId="0" xfId="0" applyFont="1" applyFill="1" applyBorder="1" applyAlignment="1" applyProtection="1">
      <alignment horizontal="left" vertical="center"/>
      <protection locked="0"/>
    </xf>
    <xf numFmtId="0" fontId="100" fillId="33" borderId="0" xfId="0" applyFont="1" applyFill="1" applyBorder="1" applyAlignment="1" applyProtection="1">
      <alignment vertical="center"/>
      <protection locked="0"/>
    </xf>
    <xf numFmtId="0" fontId="11" fillId="0" borderId="25" xfId="0" applyFont="1" applyFill="1" applyBorder="1" applyAlignment="1" applyProtection="1">
      <alignment vertical="center" wrapText="1"/>
      <protection/>
    </xf>
    <xf numFmtId="0" fontId="98" fillId="8" borderId="36" xfId="0" applyFont="1" applyFill="1" applyBorder="1" applyAlignment="1" applyProtection="1">
      <alignment horizontal="left" vertical="top"/>
      <protection locked="0"/>
    </xf>
    <xf numFmtId="0" fontId="12" fillId="0" borderId="10" xfId="58" applyFont="1" applyFill="1" applyBorder="1" applyAlignment="1" applyProtection="1">
      <alignment vertical="center" wrapText="1"/>
      <protection/>
    </xf>
    <xf numFmtId="0" fontId="11" fillId="0" borderId="10" xfId="0" applyFont="1" applyFill="1" applyBorder="1" applyAlignment="1" applyProtection="1">
      <alignment vertical="top" wrapText="1"/>
      <protection/>
    </xf>
    <xf numFmtId="0" fontId="12" fillId="0" borderId="10" xfId="58" applyFont="1" applyFill="1" applyBorder="1" applyAlignment="1" applyProtection="1">
      <alignment horizontal="center" vertical="center" wrapText="1"/>
      <protection/>
    </xf>
    <xf numFmtId="0" fontId="7" fillId="8" borderId="36" xfId="0" applyFont="1" applyFill="1" applyBorder="1" applyAlignment="1" applyProtection="1">
      <alignment horizontal="center" vertical="center"/>
      <protection locked="0"/>
    </xf>
    <xf numFmtId="0" fontId="11" fillId="0" borderId="10" xfId="0" applyFont="1" applyFill="1" applyBorder="1" applyAlignment="1" applyProtection="1">
      <alignment horizontal="center" vertical="center" wrapText="1"/>
      <protection/>
    </xf>
    <xf numFmtId="171" fontId="5" fillId="33" borderId="37" xfId="44" applyNumberFormat="1" applyFont="1" applyFill="1" applyBorder="1" applyAlignment="1" applyProtection="1">
      <alignment horizontal="center" wrapText="1"/>
      <protection locked="0"/>
    </xf>
    <xf numFmtId="171" fontId="5" fillId="33" borderId="0" xfId="44" applyNumberFormat="1" applyFont="1" applyFill="1" applyBorder="1" applyAlignment="1" applyProtection="1">
      <alignment horizontal="center" wrapText="1"/>
      <protection locked="0"/>
    </xf>
    <xf numFmtId="171" fontId="5" fillId="33" borderId="30" xfId="44" applyNumberFormat="1" applyFont="1" applyFill="1" applyBorder="1" applyAlignment="1" applyProtection="1">
      <alignment horizontal="center" wrapText="1"/>
      <protection locked="0"/>
    </xf>
    <xf numFmtId="171" fontId="5" fillId="33" borderId="38" xfId="44" applyNumberFormat="1" applyFont="1" applyFill="1" applyBorder="1" applyAlignment="1" applyProtection="1">
      <alignment horizontal="center" wrapText="1"/>
      <protection locked="0"/>
    </xf>
    <xf numFmtId="0" fontId="5" fillId="33" borderId="38" xfId="0" applyFont="1" applyFill="1" applyBorder="1" applyAlignment="1">
      <alignment horizontal="center" vertical="center"/>
    </xf>
    <xf numFmtId="171" fontId="5" fillId="33" borderId="38" xfId="44" applyNumberFormat="1" applyFont="1" applyFill="1" applyBorder="1" applyAlignment="1" applyProtection="1">
      <alignment vertical="center"/>
      <protection locked="0"/>
    </xf>
    <xf numFmtId="171" fontId="5" fillId="33" borderId="39" xfId="44" applyNumberFormat="1" applyFont="1" applyFill="1" applyBorder="1" applyAlignment="1" applyProtection="1">
      <alignment vertical="center"/>
      <protection locked="0"/>
    </xf>
    <xf numFmtId="171" fontId="5" fillId="33" borderId="33" xfId="44" applyNumberFormat="1" applyFont="1" applyFill="1" applyBorder="1" applyAlignment="1" applyProtection="1">
      <alignment vertical="center"/>
      <protection locked="0"/>
    </xf>
    <xf numFmtId="171" fontId="2" fillId="0" borderId="0" xfId="0" applyNumberFormat="1" applyFont="1" applyFill="1" applyBorder="1" applyAlignment="1" applyProtection="1">
      <alignment/>
      <protection locked="0"/>
    </xf>
    <xf numFmtId="43" fontId="2" fillId="33" borderId="0" xfId="42" applyFont="1" applyFill="1" applyBorder="1" applyAlignment="1" applyProtection="1">
      <alignment horizontal="center" vertical="center"/>
      <protection locked="0"/>
    </xf>
    <xf numFmtId="171" fontId="3" fillId="33" borderId="0" xfId="44" applyNumberFormat="1" applyFont="1" applyFill="1" applyBorder="1" applyAlignment="1" applyProtection="1">
      <alignment horizontal="center" vertical="center" wrapText="1"/>
      <protection locked="0"/>
    </xf>
    <xf numFmtId="171" fontId="2" fillId="33" borderId="0" xfId="44" applyNumberFormat="1" applyFont="1" applyFill="1" applyBorder="1" applyAlignment="1" applyProtection="1">
      <alignment horizontal="center" vertical="center" wrapText="1"/>
      <protection locked="0"/>
    </xf>
    <xf numFmtId="0" fontId="14" fillId="33" borderId="0" xfId="0" applyFont="1" applyFill="1" applyBorder="1" applyAlignment="1" applyProtection="1">
      <alignment vertical="center"/>
      <protection locked="0"/>
    </xf>
    <xf numFmtId="0" fontId="106" fillId="33" borderId="0" xfId="0" applyFont="1" applyFill="1" applyBorder="1" applyAlignment="1" applyProtection="1">
      <alignment/>
      <protection locked="0"/>
    </xf>
    <xf numFmtId="0" fontId="106" fillId="33" borderId="0" xfId="0" applyFont="1" applyFill="1" applyBorder="1" applyAlignment="1" applyProtection="1">
      <alignment vertical="center"/>
      <protection locked="0"/>
    </xf>
    <xf numFmtId="0" fontId="14" fillId="33" borderId="0" xfId="0" applyFont="1" applyFill="1" applyBorder="1" applyAlignment="1" applyProtection="1">
      <alignment horizontal="center"/>
      <protection locked="0"/>
    </xf>
    <xf numFmtId="171" fontId="14" fillId="33" borderId="0" xfId="42" applyNumberFormat="1" applyFont="1" applyFill="1" applyBorder="1" applyAlignment="1" applyProtection="1">
      <alignment horizontal="right"/>
      <protection locked="0"/>
    </xf>
    <xf numFmtId="0" fontId="14" fillId="33" borderId="0" xfId="0" applyFont="1" applyFill="1" applyBorder="1" applyAlignment="1" applyProtection="1">
      <alignment horizontal="right"/>
      <protection locked="0"/>
    </xf>
    <xf numFmtId="0" fontId="11" fillId="33" borderId="0" xfId="0" applyFont="1" applyFill="1" applyBorder="1" applyAlignment="1" applyProtection="1">
      <alignment horizontal="right"/>
      <protection locked="0"/>
    </xf>
    <xf numFmtId="171" fontId="11" fillId="33" borderId="0" xfId="42" applyNumberFormat="1" applyFont="1" applyFill="1" applyBorder="1" applyAlignment="1" applyProtection="1">
      <alignment horizontal="right" vertical="center"/>
      <protection locked="0"/>
    </xf>
    <xf numFmtId="171" fontId="11" fillId="33" borderId="0" xfId="42" applyNumberFormat="1" applyFont="1" applyFill="1" applyBorder="1" applyAlignment="1" applyProtection="1">
      <alignment horizontal="right"/>
      <protection locked="0"/>
    </xf>
    <xf numFmtId="171" fontId="11" fillId="33" borderId="0" xfId="42" applyNumberFormat="1" applyFont="1" applyFill="1" applyBorder="1" applyAlignment="1" applyProtection="1">
      <alignment horizontal="right" vertical="center" wrapText="1"/>
      <protection locked="0"/>
    </xf>
    <xf numFmtId="171" fontId="11" fillId="33" borderId="0" xfId="42" applyNumberFormat="1" applyFont="1" applyFill="1" applyBorder="1" applyAlignment="1" applyProtection="1">
      <alignment horizontal="right" wrapText="1"/>
      <protection locked="0"/>
    </xf>
    <xf numFmtId="171" fontId="12" fillId="33" borderId="0" xfId="42" applyNumberFormat="1" applyFont="1" applyFill="1" applyBorder="1" applyAlignment="1" applyProtection="1">
      <alignment horizontal="right" vertical="center" wrapText="1"/>
      <protection locked="0"/>
    </xf>
    <xf numFmtId="171" fontId="14" fillId="33" borderId="0" xfId="42" applyNumberFormat="1" applyFont="1" applyFill="1" applyBorder="1" applyAlignment="1" applyProtection="1">
      <alignment horizontal="right" wrapText="1"/>
      <protection locked="0"/>
    </xf>
    <xf numFmtId="0" fontId="14" fillId="33" borderId="0" xfId="0" applyFont="1" applyFill="1" applyBorder="1" applyAlignment="1" applyProtection="1">
      <alignment/>
      <protection locked="0"/>
    </xf>
    <xf numFmtId="43" fontId="14" fillId="33" borderId="0" xfId="42" applyFont="1" applyFill="1" applyBorder="1" applyAlignment="1" applyProtection="1">
      <alignment/>
      <protection locked="0"/>
    </xf>
    <xf numFmtId="0" fontId="12" fillId="33" borderId="0" xfId="0" applyFont="1" applyFill="1" applyBorder="1" applyAlignment="1">
      <alignment vertical="center" wrapText="1"/>
    </xf>
    <xf numFmtId="0" fontId="12" fillId="33" borderId="0" xfId="0" applyFont="1" applyFill="1" applyBorder="1" applyAlignment="1">
      <alignment wrapText="1"/>
    </xf>
    <xf numFmtId="0" fontId="107" fillId="0" borderId="0" xfId="0" applyFont="1" applyFill="1" applyBorder="1" applyAlignment="1" applyProtection="1">
      <alignment/>
      <protection locked="0"/>
    </xf>
    <xf numFmtId="43" fontId="107" fillId="0" borderId="0" xfId="42" applyFont="1" applyFill="1" applyBorder="1" applyAlignment="1" applyProtection="1">
      <alignment/>
      <protection locked="0"/>
    </xf>
    <xf numFmtId="0" fontId="16" fillId="8" borderId="33"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center"/>
      <protection locked="0"/>
    </xf>
    <xf numFmtId="43" fontId="16" fillId="0" borderId="0" xfId="42" applyFont="1" applyFill="1" applyBorder="1" applyAlignment="1" applyProtection="1">
      <alignment horizontal="center"/>
      <protection locked="0"/>
    </xf>
    <xf numFmtId="0" fontId="16" fillId="0" borderId="0" xfId="0" applyFont="1" applyFill="1" applyBorder="1" applyAlignment="1" applyProtection="1">
      <alignment horizontal="center" wrapText="1"/>
      <protection locked="0"/>
    </xf>
    <xf numFmtId="43" fontId="16" fillId="0" borderId="0" xfId="42" applyFont="1" applyFill="1" applyBorder="1" applyAlignment="1" applyProtection="1">
      <alignment horizontal="center" wrapText="1"/>
      <protection locked="0"/>
    </xf>
    <xf numFmtId="0" fontId="16" fillId="8" borderId="18" xfId="0" applyFont="1" applyFill="1" applyBorder="1" applyAlignment="1" applyProtection="1">
      <alignment wrapText="1"/>
      <protection locked="0"/>
    </xf>
    <xf numFmtId="0" fontId="12" fillId="8" borderId="12" xfId="0" applyFont="1" applyFill="1" applyBorder="1" applyAlignment="1">
      <alignment horizontal="center" vertical="center"/>
    </xf>
    <xf numFmtId="0" fontId="12" fillId="34" borderId="12" xfId="0" applyFont="1" applyFill="1" applyBorder="1" applyAlignment="1">
      <alignment horizontal="center" vertical="center"/>
    </xf>
    <xf numFmtId="0" fontId="16" fillId="0" borderId="0" xfId="0" applyFont="1" applyFill="1" applyBorder="1" applyAlignment="1" applyProtection="1">
      <alignment horizontal="center" vertical="center" wrapText="1"/>
      <protection locked="0"/>
    </xf>
    <xf numFmtId="43" fontId="16" fillId="0" borderId="0" xfId="42" applyFont="1" applyFill="1" applyBorder="1" applyAlignment="1" applyProtection="1">
      <alignment horizontal="center" vertical="center" wrapText="1"/>
      <protection locked="0"/>
    </xf>
    <xf numFmtId="0" fontId="12" fillId="8" borderId="10" xfId="0" applyFont="1" applyFill="1" applyBorder="1" applyAlignment="1">
      <alignment horizontal="center" vertical="center"/>
    </xf>
    <xf numFmtId="0" fontId="12" fillId="8" borderId="10" xfId="0" applyFont="1" applyFill="1" applyBorder="1" applyAlignment="1">
      <alignment horizontal="center" vertical="center" wrapText="1"/>
    </xf>
    <xf numFmtId="0" fontId="11" fillId="0" borderId="10" xfId="0" applyFont="1" applyFill="1" applyBorder="1" applyAlignment="1" applyProtection="1">
      <alignment horizontal="left" vertical="top" wrapText="1"/>
      <protection/>
    </xf>
    <xf numFmtId="0" fontId="11" fillId="33" borderId="10" xfId="0" applyFont="1" applyFill="1" applyBorder="1" applyAlignment="1" applyProtection="1">
      <alignment horizontal="center" vertical="center" wrapText="1"/>
      <protection locked="0"/>
    </xf>
    <xf numFmtId="0" fontId="16" fillId="33" borderId="10" xfId="0" applyFont="1" applyFill="1" applyBorder="1" applyAlignment="1" applyProtection="1">
      <alignment horizontal="center" vertical="center" wrapText="1"/>
      <protection locked="0"/>
    </xf>
    <xf numFmtId="0" fontId="12" fillId="33" borderId="10" xfId="0" applyFont="1" applyFill="1" applyBorder="1" applyAlignment="1">
      <alignment horizontal="center" vertical="center"/>
    </xf>
    <xf numFmtId="171" fontId="16" fillId="34" borderId="10" xfId="0" applyNumberFormat="1" applyFont="1" applyFill="1" applyBorder="1" applyAlignment="1" applyProtection="1">
      <alignment horizontal="right"/>
      <protection locked="0"/>
    </xf>
    <xf numFmtId="171" fontId="12" fillId="34" borderId="10" xfId="44" applyNumberFormat="1" applyFont="1" applyFill="1" applyBorder="1" applyAlignment="1" applyProtection="1">
      <alignment horizontal="right" vertical="center"/>
      <protection locked="0"/>
    </xf>
    <xf numFmtId="171" fontId="16" fillId="34" borderId="10" xfId="42" applyNumberFormat="1" applyFont="1" applyFill="1" applyBorder="1" applyAlignment="1" applyProtection="1">
      <alignment horizontal="right" vertical="center"/>
      <protection locked="0"/>
    </xf>
    <xf numFmtId="171" fontId="16" fillId="34" borderId="10" xfId="42" applyNumberFormat="1" applyFont="1" applyFill="1" applyBorder="1" applyAlignment="1" applyProtection="1">
      <alignment horizontal="right"/>
      <protection locked="0"/>
    </xf>
    <xf numFmtId="0" fontId="12" fillId="34" borderId="10" xfId="0" applyFont="1" applyFill="1" applyBorder="1" applyAlignment="1">
      <alignment horizontal="center" vertical="center"/>
    </xf>
    <xf numFmtId="171" fontId="12" fillId="33" borderId="10" xfId="0" applyNumberFormat="1" applyFont="1" applyFill="1" applyBorder="1" applyAlignment="1">
      <alignment horizontal="center" vertical="center"/>
    </xf>
    <xf numFmtId="0" fontId="16" fillId="33" borderId="0" xfId="0" applyFont="1" applyFill="1" applyBorder="1" applyAlignment="1" applyProtection="1">
      <alignment horizontal="center" vertical="center" wrapText="1"/>
      <protection locked="0"/>
    </xf>
    <xf numFmtId="0" fontId="12" fillId="33" borderId="12" xfId="0" applyFont="1" applyFill="1" applyBorder="1" applyAlignment="1">
      <alignment horizontal="center" vertical="center"/>
    </xf>
    <xf numFmtId="43" fontId="16" fillId="33" borderId="0" xfId="42" applyFont="1" applyFill="1" applyBorder="1" applyAlignment="1" applyProtection="1">
      <alignment horizontal="center" vertical="center" wrapText="1"/>
      <protection locked="0"/>
    </xf>
    <xf numFmtId="43" fontId="12" fillId="34" borderId="10" xfId="42" applyFont="1" applyFill="1" applyBorder="1" applyAlignment="1">
      <alignment horizontal="center" vertical="center"/>
    </xf>
    <xf numFmtId="43" fontId="12" fillId="33" borderId="10" xfId="42" applyFont="1" applyFill="1" applyBorder="1" applyAlignment="1">
      <alignment horizontal="center" vertical="center"/>
    </xf>
    <xf numFmtId="0" fontId="11" fillId="0" borderId="19" xfId="0" applyFont="1" applyFill="1" applyBorder="1" applyAlignment="1" applyProtection="1">
      <alignment horizontal="center" vertical="center" wrapText="1"/>
      <protection/>
    </xf>
    <xf numFmtId="0" fontId="11" fillId="0" borderId="10" xfId="0" applyFont="1" applyFill="1" applyBorder="1" applyAlignment="1" applyProtection="1">
      <alignment horizontal="left" vertical="center" wrapText="1"/>
      <protection/>
    </xf>
    <xf numFmtId="171" fontId="16" fillId="2" borderId="10" xfId="42" applyNumberFormat="1" applyFont="1" applyFill="1" applyBorder="1" applyAlignment="1" applyProtection="1">
      <alignment horizontal="right"/>
      <protection locked="0"/>
    </xf>
    <xf numFmtId="0" fontId="16" fillId="2" borderId="10" xfId="0" applyFont="1" applyFill="1" applyBorder="1" applyAlignment="1" applyProtection="1">
      <alignment horizontal="right"/>
      <protection locked="0"/>
    </xf>
    <xf numFmtId="0" fontId="16" fillId="0" borderId="10" xfId="0" applyFont="1" applyFill="1" applyBorder="1" applyAlignment="1" applyProtection="1">
      <alignment horizontal="right"/>
      <protection locked="0"/>
    </xf>
    <xf numFmtId="171" fontId="16" fillId="0" borderId="10" xfId="42" applyNumberFormat="1" applyFont="1" applyFill="1" applyBorder="1" applyAlignment="1" applyProtection="1">
      <alignment horizontal="right"/>
      <protection locked="0"/>
    </xf>
    <xf numFmtId="171" fontId="16" fillId="0" borderId="10" xfId="42" applyNumberFormat="1" applyFont="1" applyFill="1" applyBorder="1" applyAlignment="1" applyProtection="1">
      <alignment horizontal="right" vertical="center"/>
      <protection locked="0"/>
    </xf>
    <xf numFmtId="171" fontId="16" fillId="4" borderId="10" xfId="42" applyNumberFormat="1" applyFont="1" applyFill="1" applyBorder="1" applyAlignment="1" applyProtection="1">
      <alignment horizontal="right"/>
      <protection locked="0"/>
    </xf>
    <xf numFmtId="171" fontId="16" fillId="0" borderId="10" xfId="42" applyNumberFormat="1" applyFont="1" applyFill="1" applyBorder="1" applyAlignment="1" applyProtection="1">
      <alignment vertical="center"/>
      <protection locked="0"/>
    </xf>
    <xf numFmtId="0" fontId="101" fillId="34" borderId="10" xfId="0" applyFont="1" applyFill="1" applyBorder="1" applyAlignment="1" applyProtection="1">
      <alignment horizontal="left" vertical="top" wrapText="1"/>
      <protection/>
    </xf>
    <xf numFmtId="0" fontId="16" fillId="0" borderId="0" xfId="0" applyFont="1" applyFill="1" applyBorder="1" applyAlignment="1" applyProtection="1">
      <alignment/>
      <protection locked="0"/>
    </xf>
    <xf numFmtId="43" fontId="16" fillId="0" borderId="0" xfId="42" applyFont="1" applyFill="1" applyBorder="1" applyAlignment="1" applyProtection="1">
      <alignment/>
      <protection locked="0"/>
    </xf>
    <xf numFmtId="0" fontId="17" fillId="2" borderId="10" xfId="0" applyFont="1" applyFill="1" applyBorder="1" applyAlignment="1" applyProtection="1">
      <alignment wrapText="1"/>
      <protection locked="0"/>
    </xf>
    <xf numFmtId="0" fontId="17" fillId="0" borderId="10" xfId="0" applyFont="1" applyFill="1" applyBorder="1" applyAlignment="1" applyProtection="1">
      <alignment wrapText="1"/>
      <protection locked="0"/>
    </xf>
    <xf numFmtId="0" fontId="17" fillId="0" borderId="10" xfId="0" applyFont="1" applyFill="1" applyBorder="1" applyAlignment="1" applyProtection="1">
      <alignment vertical="center" wrapText="1"/>
      <protection locked="0"/>
    </xf>
    <xf numFmtId="0" fontId="17" fillId="4" borderId="10" xfId="0" applyFont="1" applyFill="1" applyBorder="1" applyAlignment="1" applyProtection="1">
      <alignment wrapText="1"/>
      <protection locked="0"/>
    </xf>
    <xf numFmtId="0" fontId="16" fillId="34" borderId="10" xfId="0" applyFont="1" applyFill="1" applyBorder="1" applyAlignment="1" applyProtection="1">
      <alignment vertical="center" wrapText="1"/>
      <protection locked="0"/>
    </xf>
    <xf numFmtId="0" fontId="17" fillId="0" borderId="0" xfId="0" applyFont="1" applyFill="1" applyBorder="1" applyAlignment="1" applyProtection="1">
      <alignment/>
      <protection locked="0"/>
    </xf>
    <xf numFmtId="43" fontId="17" fillId="0" borderId="0" xfId="42" applyFont="1" applyFill="1" applyBorder="1" applyAlignment="1" applyProtection="1">
      <alignment/>
      <protection locked="0"/>
    </xf>
    <xf numFmtId="0" fontId="12" fillId="2" borderId="10" xfId="0" applyFont="1" applyFill="1" applyBorder="1" applyAlignment="1" applyProtection="1">
      <alignment horizontal="right"/>
      <protection locked="0"/>
    </xf>
    <xf numFmtId="0" fontId="12" fillId="0" borderId="10" xfId="0" applyFont="1" applyFill="1" applyBorder="1" applyAlignment="1" applyProtection="1">
      <alignment horizontal="right"/>
      <protection locked="0"/>
    </xf>
    <xf numFmtId="0" fontId="17" fillId="0" borderId="10" xfId="0" applyFont="1" applyFill="1" applyBorder="1" applyAlignment="1" applyProtection="1">
      <alignment horizontal="right" wrapText="1"/>
      <protection locked="0"/>
    </xf>
    <xf numFmtId="171" fontId="17" fillId="0" borderId="10" xfId="42" applyNumberFormat="1" applyFont="1" applyFill="1" applyBorder="1" applyAlignment="1" applyProtection="1">
      <alignment horizontal="right" wrapText="1"/>
      <protection locked="0"/>
    </xf>
    <xf numFmtId="171" fontId="17" fillId="0" borderId="10" xfId="42" applyNumberFormat="1" applyFont="1" applyFill="1" applyBorder="1" applyAlignment="1" applyProtection="1">
      <alignment horizontal="right" vertical="center" wrapText="1"/>
      <protection locked="0"/>
    </xf>
    <xf numFmtId="171" fontId="11" fillId="4" borderId="10" xfId="42" applyNumberFormat="1" applyFont="1" applyFill="1" applyBorder="1" applyAlignment="1" applyProtection="1">
      <alignment horizontal="right" wrapText="1"/>
      <protection locked="0"/>
    </xf>
    <xf numFmtId="171" fontId="12" fillId="34" borderId="10" xfId="42" applyNumberFormat="1" applyFont="1" applyFill="1" applyBorder="1" applyAlignment="1" applyProtection="1">
      <alignment horizontal="right" vertical="center" wrapText="1"/>
      <protection locked="0"/>
    </xf>
    <xf numFmtId="0" fontId="11" fillId="0" borderId="0" xfId="0" applyFont="1" applyFill="1" applyBorder="1" applyAlignment="1" applyProtection="1">
      <alignment/>
      <protection locked="0"/>
    </xf>
    <xf numFmtId="43" fontId="11" fillId="0" borderId="0" xfId="42" applyFont="1" applyFill="1" applyBorder="1" applyAlignment="1" applyProtection="1">
      <alignment/>
      <protection locked="0"/>
    </xf>
    <xf numFmtId="0" fontId="11" fillId="0" borderId="13" xfId="0" applyFont="1" applyFill="1" applyBorder="1" applyAlignment="1" applyProtection="1">
      <alignment horizontal="center" vertical="center" wrapText="1"/>
      <protection/>
    </xf>
    <xf numFmtId="0" fontId="16" fillId="0" borderId="10" xfId="0" applyFont="1" applyFill="1" applyBorder="1" applyAlignment="1" applyProtection="1">
      <alignment horizontal="right" wrapText="1"/>
      <protection locked="0"/>
    </xf>
    <xf numFmtId="171" fontId="11" fillId="0" borderId="10" xfId="42" applyNumberFormat="1" applyFont="1" applyFill="1" applyBorder="1" applyAlignment="1" applyProtection="1">
      <alignment horizontal="right"/>
      <protection locked="0"/>
    </xf>
    <xf numFmtId="171" fontId="11" fillId="0" borderId="10" xfId="42" applyNumberFormat="1" applyFont="1" applyFill="1" applyBorder="1" applyAlignment="1" applyProtection="1">
      <alignment horizontal="right" vertical="center" wrapText="1"/>
      <protection locked="0"/>
    </xf>
    <xf numFmtId="43" fontId="101" fillId="0" borderId="0" xfId="42" applyFont="1" applyFill="1" applyBorder="1" applyAlignment="1" applyProtection="1">
      <alignment/>
      <protection locked="0"/>
    </xf>
    <xf numFmtId="43" fontId="101" fillId="0" borderId="0" xfId="0" applyNumberFormat="1" applyFont="1" applyFill="1" applyBorder="1" applyAlignment="1" applyProtection="1">
      <alignment/>
      <protection locked="0"/>
    </xf>
    <xf numFmtId="43" fontId="14" fillId="0" borderId="0" xfId="42" applyFont="1" applyFill="1" applyBorder="1" applyAlignment="1" applyProtection="1">
      <alignment/>
      <protection locked="0"/>
    </xf>
    <xf numFmtId="0" fontId="14" fillId="0" borderId="0" xfId="0" applyFont="1" applyFill="1" applyBorder="1" applyAlignment="1" applyProtection="1">
      <alignment/>
      <protection locked="0"/>
    </xf>
    <xf numFmtId="0" fontId="18" fillId="8" borderId="10" xfId="0" applyFont="1" applyFill="1" applyBorder="1" applyAlignment="1" applyProtection="1">
      <alignment vertical="center"/>
      <protection locked="0"/>
    </xf>
    <xf numFmtId="0" fontId="18" fillId="8" borderId="10" xfId="0" applyFont="1" applyFill="1" applyBorder="1" applyAlignment="1" applyProtection="1">
      <alignment horizontal="center"/>
      <protection locked="0"/>
    </xf>
    <xf numFmtId="171" fontId="18" fillId="8" borderId="10" xfId="42" applyNumberFormat="1" applyFont="1" applyFill="1" applyBorder="1" applyAlignment="1" applyProtection="1">
      <alignment horizontal="right"/>
      <protection locked="0"/>
    </xf>
    <xf numFmtId="0" fontId="18" fillId="8" borderId="10" xfId="0" applyFont="1" applyFill="1" applyBorder="1" applyAlignment="1" applyProtection="1">
      <alignment horizontal="right"/>
      <protection locked="0"/>
    </xf>
    <xf numFmtId="0" fontId="19" fillId="0" borderId="10" xfId="0" applyFont="1" applyFill="1" applyBorder="1" applyAlignment="1" applyProtection="1">
      <alignment horizontal="center"/>
      <protection locked="0"/>
    </xf>
    <xf numFmtId="171" fontId="12" fillId="2" borderId="10" xfId="42" applyNumberFormat="1" applyFont="1" applyFill="1" applyBorder="1" applyAlignment="1" applyProtection="1">
      <alignment horizontal="right"/>
      <protection locked="0"/>
    </xf>
    <xf numFmtId="171" fontId="12" fillId="0" borderId="10" xfId="42" applyNumberFormat="1" applyFont="1" applyFill="1" applyBorder="1" applyAlignment="1" applyProtection="1">
      <alignment horizontal="right"/>
      <protection locked="0"/>
    </xf>
    <xf numFmtId="171" fontId="12" fillId="0" borderId="10" xfId="42" applyNumberFormat="1" applyFont="1" applyFill="1" applyBorder="1" applyAlignment="1" applyProtection="1">
      <alignment horizontal="right" vertical="center"/>
      <protection locked="0"/>
    </xf>
    <xf numFmtId="171" fontId="12" fillId="4" borderId="10" xfId="42" applyNumberFormat="1" applyFont="1" applyFill="1" applyBorder="1" applyAlignment="1" applyProtection="1">
      <alignment horizontal="right"/>
      <protection locked="0"/>
    </xf>
    <xf numFmtId="171" fontId="12" fillId="34" borderId="10" xfId="42" applyNumberFormat="1" applyFont="1" applyFill="1" applyBorder="1" applyAlignment="1" applyProtection="1">
      <alignment horizontal="right" vertical="center"/>
      <protection locked="0"/>
    </xf>
    <xf numFmtId="0" fontId="108" fillId="8" borderId="10" xfId="0" applyFont="1" applyFill="1" applyBorder="1" applyAlignment="1" applyProtection="1">
      <alignment/>
      <protection locked="0"/>
    </xf>
    <xf numFmtId="0" fontId="106" fillId="8" borderId="10" xfId="0" applyFont="1" applyFill="1" applyBorder="1" applyAlignment="1" applyProtection="1">
      <alignment vertical="center"/>
      <protection locked="0"/>
    </xf>
    <xf numFmtId="0" fontId="14" fillId="0" borderId="0" xfId="0" applyFont="1" applyFill="1" applyBorder="1" applyAlignment="1" applyProtection="1">
      <alignment vertical="center"/>
      <protection locked="0"/>
    </xf>
    <xf numFmtId="0" fontId="106" fillId="0" borderId="0" xfId="0" applyFont="1" applyFill="1" applyBorder="1" applyAlignment="1" applyProtection="1">
      <alignment/>
      <protection locked="0"/>
    </xf>
    <xf numFmtId="0" fontId="106" fillId="0" borderId="0" xfId="0" applyFont="1" applyFill="1" applyBorder="1" applyAlignment="1" applyProtection="1">
      <alignment vertical="center"/>
      <protection locked="0"/>
    </xf>
    <xf numFmtId="0" fontId="14" fillId="0" borderId="0" xfId="0" applyFont="1" applyFill="1" applyBorder="1" applyAlignment="1" applyProtection="1">
      <alignment horizontal="center"/>
      <protection locked="0"/>
    </xf>
    <xf numFmtId="171" fontId="14" fillId="0" borderId="0" xfId="42" applyNumberFormat="1" applyFont="1" applyFill="1" applyBorder="1" applyAlignment="1" applyProtection="1">
      <alignment horizontal="right"/>
      <protection locked="0"/>
    </xf>
    <xf numFmtId="0" fontId="14" fillId="0" borderId="0" xfId="0" applyFont="1" applyFill="1" applyBorder="1" applyAlignment="1" applyProtection="1">
      <alignment horizontal="right"/>
      <protection locked="0"/>
    </xf>
    <xf numFmtId="0" fontId="11" fillId="0" borderId="0" xfId="0" applyFont="1" applyFill="1" applyBorder="1" applyAlignment="1" applyProtection="1">
      <alignment horizontal="right"/>
      <protection locked="0"/>
    </xf>
    <xf numFmtId="171" fontId="11" fillId="0" borderId="0" xfId="42" applyNumberFormat="1" applyFont="1" applyFill="1" applyBorder="1" applyAlignment="1" applyProtection="1">
      <alignment horizontal="right" vertical="center"/>
      <protection locked="0"/>
    </xf>
    <xf numFmtId="171" fontId="11" fillId="0" borderId="0" xfId="42" applyNumberFormat="1" applyFont="1" applyFill="1" applyBorder="1" applyAlignment="1" applyProtection="1">
      <alignment horizontal="right"/>
      <protection locked="0"/>
    </xf>
    <xf numFmtId="171" fontId="11" fillId="0" borderId="0" xfId="42" applyNumberFormat="1" applyFont="1" applyFill="1" applyBorder="1" applyAlignment="1" applyProtection="1">
      <alignment horizontal="right" vertical="center" wrapText="1"/>
      <protection locked="0"/>
    </xf>
    <xf numFmtId="171" fontId="11" fillId="0" borderId="0" xfId="42" applyNumberFormat="1" applyFont="1" applyFill="1" applyBorder="1" applyAlignment="1" applyProtection="1">
      <alignment horizontal="right" wrapText="1"/>
      <protection locked="0"/>
    </xf>
    <xf numFmtId="171" fontId="12" fillId="0" borderId="0" xfId="42" applyNumberFormat="1" applyFont="1" applyFill="1" applyBorder="1" applyAlignment="1" applyProtection="1">
      <alignment horizontal="right" vertical="center" wrapText="1"/>
      <protection locked="0"/>
    </xf>
    <xf numFmtId="171" fontId="14" fillId="0" borderId="0" xfId="42" applyNumberFormat="1" applyFont="1" applyFill="1" applyBorder="1" applyAlignment="1" applyProtection="1">
      <alignment horizontal="right" wrapText="1"/>
      <protection locked="0"/>
    </xf>
    <xf numFmtId="0" fontId="14" fillId="33" borderId="0" xfId="0" applyFont="1" applyFill="1" applyBorder="1" applyAlignment="1" applyProtection="1">
      <alignment horizontal="left"/>
      <protection locked="0"/>
    </xf>
    <xf numFmtId="0" fontId="16" fillId="8" borderId="18" xfId="0" applyFont="1" applyFill="1" applyBorder="1" applyAlignment="1" applyProtection="1">
      <alignment horizontal="left" wrapText="1"/>
      <protection locked="0"/>
    </xf>
    <xf numFmtId="0" fontId="19" fillId="0" borderId="10" xfId="0" applyFont="1" applyFill="1" applyBorder="1" applyAlignment="1" applyProtection="1">
      <alignment horizontal="left"/>
      <protection locked="0"/>
    </xf>
    <xf numFmtId="0" fontId="18" fillId="8" borderId="10" xfId="0" applyFont="1" applyFill="1" applyBorder="1" applyAlignment="1" applyProtection="1">
      <alignment horizontal="left"/>
      <protection locked="0"/>
    </xf>
    <xf numFmtId="0" fontId="14" fillId="0" borderId="0" xfId="0" applyFont="1" applyFill="1" applyBorder="1" applyAlignment="1" applyProtection="1">
      <alignment horizontal="left"/>
      <protection locked="0"/>
    </xf>
    <xf numFmtId="0" fontId="11" fillId="0" borderId="19" xfId="0" applyFont="1" applyFill="1" applyBorder="1" applyAlignment="1" applyProtection="1">
      <alignment vertical="center" wrapText="1"/>
      <protection/>
    </xf>
    <xf numFmtId="0" fontId="11" fillId="0" borderId="31" xfId="0" applyFont="1" applyFill="1" applyBorder="1" applyAlignment="1" applyProtection="1">
      <alignment vertical="center" wrapText="1"/>
      <protection/>
    </xf>
    <xf numFmtId="0" fontId="16" fillId="8" borderId="34" xfId="0" applyFont="1" applyFill="1" applyBorder="1" applyAlignment="1" applyProtection="1">
      <alignment vertical="center" wrapText="1"/>
      <protection locked="0"/>
    </xf>
    <xf numFmtId="0" fontId="19" fillId="0" borderId="10" xfId="0" applyFont="1" applyFill="1" applyBorder="1" applyAlignment="1" applyProtection="1">
      <alignment horizontal="left" vertical="top" wrapText="1"/>
      <protection locked="0"/>
    </xf>
    <xf numFmtId="0" fontId="19" fillId="0" borderId="10" xfId="0" applyFont="1" applyFill="1" applyBorder="1" applyAlignment="1" applyProtection="1">
      <alignment horizontal="center" vertical="top"/>
      <protection locked="0"/>
    </xf>
    <xf numFmtId="171" fontId="16" fillId="2" borderId="10" xfId="42" applyNumberFormat="1" applyFont="1" applyFill="1" applyBorder="1" applyAlignment="1" applyProtection="1">
      <alignment horizontal="right" vertical="top"/>
      <protection locked="0"/>
    </xf>
    <xf numFmtId="171" fontId="12" fillId="2" borderId="10" xfId="42" applyNumberFormat="1" applyFont="1" applyFill="1" applyBorder="1" applyAlignment="1" applyProtection="1">
      <alignment horizontal="right" vertical="top"/>
      <protection locked="0"/>
    </xf>
    <xf numFmtId="171" fontId="16" fillId="34" borderId="10" xfId="0" applyNumberFormat="1" applyFont="1" applyFill="1" applyBorder="1" applyAlignment="1" applyProtection="1">
      <alignment horizontal="right" vertical="top"/>
      <protection locked="0"/>
    </xf>
    <xf numFmtId="0" fontId="16" fillId="0" borderId="10" xfId="0" applyFont="1" applyFill="1" applyBorder="1" applyAlignment="1" applyProtection="1">
      <alignment horizontal="right" vertical="top"/>
      <protection locked="0"/>
    </xf>
    <xf numFmtId="43" fontId="5" fillId="0" borderId="18" xfId="0" applyNumberFormat="1" applyFont="1" applyFill="1" applyBorder="1" applyAlignment="1" applyProtection="1">
      <alignment horizontal="right"/>
      <protection locked="0"/>
    </xf>
    <xf numFmtId="0" fontId="5" fillId="8" borderId="18" xfId="0" applyFont="1" applyFill="1" applyBorder="1" applyAlignment="1" applyProtection="1">
      <alignment horizontal="center" vertical="center" wrapText="1"/>
      <protection locked="0"/>
    </xf>
    <xf numFmtId="171" fontId="5" fillId="0" borderId="26" xfId="44" applyNumberFormat="1" applyFont="1" applyFill="1" applyBorder="1" applyAlignment="1" applyProtection="1">
      <alignment horizontal="center" vertical="center"/>
      <protection locked="0"/>
    </xf>
    <xf numFmtId="171" fontId="5" fillId="0" borderId="31" xfId="44" applyNumberFormat="1" applyFont="1" applyFill="1" applyBorder="1" applyAlignment="1" applyProtection="1">
      <alignment horizontal="center" vertical="center"/>
      <protection locked="0"/>
    </xf>
    <xf numFmtId="171" fontId="5" fillId="0" borderId="36" xfId="44" applyNumberFormat="1" applyFont="1" applyFill="1" applyBorder="1" applyAlignment="1" applyProtection="1">
      <alignment horizontal="center" vertical="center"/>
      <protection locked="0"/>
    </xf>
    <xf numFmtId="171" fontId="5" fillId="8" borderId="21" xfId="44" applyNumberFormat="1" applyFont="1" applyFill="1" applyBorder="1" applyAlignment="1" applyProtection="1">
      <alignment horizontal="center" wrapText="1"/>
      <protection locked="0"/>
    </xf>
    <xf numFmtId="0" fontId="4" fillId="8" borderId="33" xfId="0" applyFont="1" applyFill="1" applyBorder="1" applyAlignment="1" applyProtection="1">
      <alignment horizontal="center" vertical="center" wrapText="1"/>
      <protection locked="0"/>
    </xf>
    <xf numFmtId="0" fontId="4" fillId="8" borderId="18" xfId="0" applyFont="1" applyFill="1" applyBorder="1" applyAlignment="1" applyProtection="1">
      <alignment horizontal="center" vertical="center" wrapText="1"/>
      <protection locked="0"/>
    </xf>
    <xf numFmtId="0" fontId="4" fillId="8" borderId="25" xfId="0" applyFont="1" applyFill="1" applyBorder="1" applyAlignment="1" applyProtection="1">
      <alignment horizontal="center" vertical="center" wrapText="1"/>
      <protection locked="0"/>
    </xf>
    <xf numFmtId="171" fontId="4" fillId="8" borderId="40" xfId="44" applyNumberFormat="1" applyFont="1" applyFill="1" applyBorder="1" applyAlignment="1" applyProtection="1">
      <alignment horizontal="center" wrapText="1"/>
      <protection locked="0"/>
    </xf>
    <xf numFmtId="171" fontId="4" fillId="8" borderId="30" xfId="44" applyNumberFormat="1" applyFont="1" applyFill="1" applyBorder="1" applyAlignment="1" applyProtection="1">
      <alignment horizontal="center" wrapText="1"/>
      <protection locked="0"/>
    </xf>
    <xf numFmtId="171" fontId="4" fillId="8" borderId="41" xfId="44" applyNumberFormat="1" applyFont="1" applyFill="1" applyBorder="1" applyAlignment="1" applyProtection="1">
      <alignment horizontal="center" wrapText="1"/>
      <protection locked="0"/>
    </xf>
    <xf numFmtId="0" fontId="4" fillId="8" borderId="20" xfId="0" applyFont="1" applyFill="1" applyBorder="1" applyAlignment="1" applyProtection="1">
      <alignment horizontal="center" vertical="center" wrapText="1"/>
      <protection locked="0"/>
    </xf>
    <xf numFmtId="171" fontId="5" fillId="17" borderId="0" xfId="44" applyNumberFormat="1" applyFont="1" applyFill="1" applyBorder="1" applyAlignment="1" applyProtection="1">
      <alignment horizontal="right" wrapText="1"/>
      <protection locked="0"/>
    </xf>
    <xf numFmtId="171" fontId="103" fillId="0" borderId="0" xfId="44" applyNumberFormat="1" applyFont="1" applyFill="1" applyBorder="1" applyAlignment="1" applyProtection="1">
      <alignment horizontal="right" wrapText="1"/>
      <protection locked="0"/>
    </xf>
    <xf numFmtId="0" fontId="101" fillId="0" borderId="10" xfId="0" applyFont="1" applyFill="1" applyBorder="1" applyAlignment="1" applyProtection="1">
      <alignment horizontal="left" vertical="top" wrapText="1"/>
      <protection/>
    </xf>
    <xf numFmtId="171" fontId="5" fillId="8" borderId="10" xfId="44" applyNumberFormat="1" applyFont="1" applyFill="1" applyBorder="1" applyAlignment="1" applyProtection="1">
      <alignment wrapText="1"/>
      <protection locked="0"/>
    </xf>
    <xf numFmtId="171" fontId="3" fillId="33" borderId="0" xfId="44" applyNumberFormat="1" applyFont="1" applyFill="1" applyBorder="1" applyAlignment="1" applyProtection="1">
      <alignment horizontal="center" wrapText="1"/>
      <protection locked="0"/>
    </xf>
    <xf numFmtId="171" fontId="3" fillId="0" borderId="0" xfId="44" applyNumberFormat="1" applyFont="1" applyFill="1" applyBorder="1" applyAlignment="1" applyProtection="1">
      <alignment horizontal="center" wrapText="1"/>
      <protection locked="0"/>
    </xf>
    <xf numFmtId="171" fontId="5" fillId="17" borderId="0" xfId="44" applyNumberFormat="1" applyFont="1" applyFill="1" applyBorder="1" applyAlignment="1" applyProtection="1">
      <alignment horizontal="center" wrapText="1"/>
      <protection locked="0"/>
    </xf>
    <xf numFmtId="0" fontId="103" fillId="33" borderId="0" xfId="0" applyFont="1" applyFill="1" applyBorder="1" applyAlignment="1" applyProtection="1">
      <alignment/>
      <protection locked="0"/>
    </xf>
    <xf numFmtId="3" fontId="4" fillId="0" borderId="15" xfId="44" applyNumberFormat="1" applyFont="1" applyFill="1" applyBorder="1" applyAlignment="1" applyProtection="1">
      <alignment vertical="center"/>
      <protection locked="0"/>
    </xf>
    <xf numFmtId="3" fontId="4" fillId="0" borderId="0" xfId="0" applyNumberFormat="1" applyFont="1" applyFill="1" applyBorder="1" applyAlignment="1" applyProtection="1">
      <alignment/>
      <protection locked="0"/>
    </xf>
    <xf numFmtId="0" fontId="12" fillId="33" borderId="38" xfId="0" applyFont="1" applyFill="1" applyBorder="1" applyAlignment="1">
      <alignment horizontal="center" vertical="center"/>
    </xf>
    <xf numFmtId="171" fontId="5" fillId="13" borderId="19" xfId="44" applyNumberFormat="1" applyFont="1" applyFill="1" applyBorder="1" applyAlignment="1" applyProtection="1">
      <alignment vertical="center"/>
      <protection locked="0"/>
    </xf>
    <xf numFmtId="0" fontId="4" fillId="0" borderId="10" xfId="0" applyFont="1" applyFill="1" applyBorder="1" applyAlignment="1" applyProtection="1">
      <alignment/>
      <protection locked="0"/>
    </xf>
    <xf numFmtId="0" fontId="6" fillId="0" borderId="10" xfId="0" applyFont="1" applyFill="1" applyBorder="1" applyAlignment="1" applyProtection="1">
      <alignment/>
      <protection locked="0"/>
    </xf>
    <xf numFmtId="171" fontId="3" fillId="38" borderId="0" xfId="44" applyNumberFormat="1" applyFont="1" applyFill="1" applyBorder="1" applyAlignment="1" applyProtection="1">
      <alignment horizontal="right" wrapText="1"/>
      <protection locked="0"/>
    </xf>
    <xf numFmtId="171" fontId="10" fillId="38" borderId="0" xfId="44" applyNumberFormat="1" applyFont="1" applyFill="1" applyBorder="1" applyAlignment="1" applyProtection="1">
      <alignment horizontal="right" wrapText="1"/>
      <protection locked="0"/>
    </xf>
    <xf numFmtId="171" fontId="20" fillId="33" borderId="0" xfId="44" applyNumberFormat="1" applyFont="1" applyFill="1" applyBorder="1" applyAlignment="1" applyProtection="1">
      <alignment horizontal="center" vertical="center" wrapText="1"/>
      <protection locked="0"/>
    </xf>
    <xf numFmtId="171" fontId="21" fillId="33" borderId="0" xfId="44" applyNumberFormat="1" applyFont="1" applyFill="1" applyBorder="1" applyAlignment="1" applyProtection="1">
      <alignment horizontal="center" vertical="center" wrapText="1"/>
      <protection locked="0"/>
    </xf>
    <xf numFmtId="0" fontId="23" fillId="39" borderId="38" xfId="0" applyFont="1" applyFill="1" applyBorder="1" applyAlignment="1" applyProtection="1">
      <alignment vertical="center" wrapText="1"/>
      <protection locked="0"/>
    </xf>
    <xf numFmtId="43" fontId="24" fillId="33" borderId="10" xfId="42" applyFont="1" applyFill="1" applyBorder="1" applyAlignment="1" applyProtection="1">
      <alignment horizontal="center" vertical="center" wrapText="1"/>
      <protection/>
    </xf>
    <xf numFmtId="0" fontId="15" fillId="33" borderId="10" xfId="58" applyFont="1" applyFill="1" applyBorder="1" applyAlignment="1" applyProtection="1">
      <alignment vertical="center" wrapText="1"/>
      <protection/>
    </xf>
    <xf numFmtId="0" fontId="24" fillId="33" borderId="10" xfId="0" applyFont="1" applyFill="1" applyBorder="1" applyAlignment="1" applyProtection="1">
      <alignment vertical="center" wrapText="1"/>
      <protection/>
    </xf>
    <xf numFmtId="43" fontId="24" fillId="33" borderId="10" xfId="42" applyFont="1" applyFill="1" applyBorder="1" applyAlignment="1" applyProtection="1">
      <alignment horizontal="left" vertical="center" wrapText="1"/>
      <protection/>
    </xf>
    <xf numFmtId="0" fontId="109" fillId="33" borderId="10" xfId="0" applyFont="1" applyFill="1" applyBorder="1" applyAlignment="1" applyProtection="1">
      <alignment vertical="center" wrapText="1"/>
      <protection/>
    </xf>
    <xf numFmtId="43" fontId="110" fillId="40" borderId="10" xfId="42" applyFont="1" applyFill="1" applyBorder="1" applyAlignment="1" applyProtection="1">
      <alignment horizontal="center" vertical="center"/>
      <protection locked="0"/>
    </xf>
    <xf numFmtId="0" fontId="24" fillId="39" borderId="10" xfId="0" applyFont="1" applyFill="1" applyBorder="1" applyAlignment="1" applyProtection="1">
      <alignment vertical="center" wrapText="1"/>
      <protection/>
    </xf>
    <xf numFmtId="43" fontId="25" fillId="33" borderId="10" xfId="42" applyFont="1" applyFill="1" applyBorder="1" applyAlignment="1" applyProtection="1">
      <alignment horizontal="center" vertical="center"/>
      <protection locked="0"/>
    </xf>
    <xf numFmtId="43" fontId="23" fillId="33" borderId="10" xfId="42" applyFont="1" applyFill="1" applyBorder="1" applyAlignment="1" applyProtection="1">
      <alignment horizontal="center" vertical="center"/>
      <protection locked="0"/>
    </xf>
    <xf numFmtId="0" fontId="24" fillId="40" borderId="10" xfId="0" applyFont="1" applyFill="1" applyBorder="1" applyAlignment="1" applyProtection="1">
      <alignment vertical="center" wrapText="1"/>
      <protection/>
    </xf>
    <xf numFmtId="43" fontId="25" fillId="40" borderId="10" xfId="42" applyFont="1" applyFill="1" applyBorder="1" applyAlignment="1" applyProtection="1">
      <alignment horizontal="center" vertical="center"/>
      <protection locked="0"/>
    </xf>
    <xf numFmtId="0" fontId="15" fillId="39" borderId="10" xfId="0" applyFont="1" applyFill="1" applyBorder="1" applyAlignment="1" applyProtection="1">
      <alignment horizontal="left" vertical="center" wrapText="1"/>
      <protection/>
    </xf>
    <xf numFmtId="0" fontId="24" fillId="33" borderId="13" xfId="0" applyFont="1" applyFill="1" applyBorder="1" applyAlignment="1" applyProtection="1">
      <alignment horizontal="center" vertical="center" wrapText="1"/>
      <protection/>
    </xf>
    <xf numFmtId="0" fontId="24" fillId="33" borderId="19" xfId="0" applyFont="1" applyFill="1" applyBorder="1" applyAlignment="1" applyProtection="1">
      <alignment vertical="center" wrapText="1"/>
      <protection/>
    </xf>
    <xf numFmtId="0" fontId="15" fillId="39" borderId="10" xfId="0" applyFont="1" applyFill="1" applyBorder="1" applyAlignment="1" applyProtection="1">
      <alignment vertical="center" wrapText="1"/>
      <protection/>
    </xf>
    <xf numFmtId="0" fontId="15" fillId="40" borderId="10" xfId="0" applyFont="1" applyFill="1" applyBorder="1" applyAlignment="1" applyProtection="1">
      <alignment horizontal="left" vertical="center" wrapText="1"/>
      <protection/>
    </xf>
    <xf numFmtId="0" fontId="22" fillId="39" borderId="10" xfId="0" applyFont="1" applyFill="1" applyBorder="1" applyAlignment="1" applyProtection="1">
      <alignment vertical="center"/>
      <protection locked="0"/>
    </xf>
    <xf numFmtId="43" fontId="22" fillId="39" borderId="10" xfId="42" applyFont="1" applyFill="1" applyBorder="1" applyAlignment="1" applyProtection="1">
      <alignment horizontal="center" vertical="center"/>
      <protection locked="0"/>
    </xf>
    <xf numFmtId="43" fontId="22" fillId="34" borderId="10" xfId="42" applyFont="1" applyFill="1" applyBorder="1" applyAlignment="1" applyProtection="1">
      <alignment horizontal="center" vertical="center"/>
      <protection locked="0"/>
    </xf>
    <xf numFmtId="0" fontId="21" fillId="33" borderId="0" xfId="0" applyFont="1" applyFill="1" applyBorder="1" applyAlignment="1" applyProtection="1">
      <alignment vertical="center"/>
      <protection locked="0"/>
    </xf>
    <xf numFmtId="0" fontId="111" fillId="33" borderId="0" xfId="0" applyFont="1" applyFill="1" applyBorder="1" applyAlignment="1" applyProtection="1">
      <alignment horizontal="left" vertical="center"/>
      <protection locked="0"/>
    </xf>
    <xf numFmtId="0" fontId="111" fillId="33" borderId="0" xfId="0" applyFont="1" applyFill="1" applyBorder="1" applyAlignment="1" applyProtection="1">
      <alignment vertical="center"/>
      <protection locked="0"/>
    </xf>
    <xf numFmtId="43" fontId="21" fillId="33" borderId="0" xfId="42" applyFont="1" applyFill="1" applyBorder="1" applyAlignment="1" applyProtection="1">
      <alignment horizontal="center" vertical="center"/>
      <protection locked="0"/>
    </xf>
    <xf numFmtId="9" fontId="20" fillId="33" borderId="0" xfId="62" applyFont="1" applyFill="1" applyBorder="1" applyAlignment="1" applyProtection="1">
      <alignment horizontal="center" vertical="center" wrapText="1"/>
      <protection locked="0"/>
    </xf>
    <xf numFmtId="9" fontId="21" fillId="33" borderId="0" xfId="62" applyFont="1" applyFill="1" applyBorder="1" applyAlignment="1" applyProtection="1">
      <alignment horizontal="center" vertical="center" wrapText="1"/>
      <protection locked="0"/>
    </xf>
    <xf numFmtId="43" fontId="21" fillId="33" borderId="10" xfId="42" applyFont="1" applyFill="1" applyBorder="1" applyAlignment="1" applyProtection="1">
      <alignment horizontal="center" vertical="center"/>
      <protection locked="0"/>
    </xf>
    <xf numFmtId="43" fontId="21" fillId="16" borderId="0" xfId="42" applyFont="1" applyFill="1" applyBorder="1" applyAlignment="1" applyProtection="1">
      <alignment horizontal="center" vertical="center"/>
      <protection locked="0"/>
    </xf>
    <xf numFmtId="171" fontId="20" fillId="33" borderId="10" xfId="44" applyNumberFormat="1" applyFont="1" applyFill="1" applyBorder="1" applyAlignment="1" applyProtection="1">
      <alignment horizontal="center" vertical="center" wrapText="1"/>
      <protection locked="0"/>
    </xf>
    <xf numFmtId="9" fontId="20" fillId="33" borderId="10" xfId="62" applyFont="1" applyFill="1" applyBorder="1" applyAlignment="1" applyProtection="1">
      <alignment horizontal="center" vertical="center" wrapText="1"/>
      <protection locked="0"/>
    </xf>
    <xf numFmtId="0" fontId="16" fillId="8" borderId="10" xfId="0" applyFont="1" applyFill="1" applyBorder="1" applyAlignment="1" applyProtection="1">
      <alignment horizontal="center" vertical="center" wrapText="1"/>
      <protection locked="0"/>
    </xf>
    <xf numFmtId="0" fontId="16" fillId="33" borderId="10" xfId="0" applyFont="1" applyFill="1" applyBorder="1" applyAlignment="1" applyProtection="1">
      <alignment horizontal="center" vertical="center" wrapText="1"/>
      <protection locked="0"/>
    </xf>
    <xf numFmtId="0" fontId="24" fillId="33" borderId="13" xfId="0" applyFont="1" applyFill="1" applyBorder="1" applyAlignment="1" applyProtection="1">
      <alignment horizontal="center" vertical="center" wrapText="1"/>
      <protection/>
    </xf>
    <xf numFmtId="0" fontId="24" fillId="33" borderId="10" xfId="0" applyFont="1" applyFill="1" applyBorder="1" applyAlignment="1" applyProtection="1">
      <alignment horizontal="left" vertical="center" wrapText="1"/>
      <protection/>
    </xf>
    <xf numFmtId="0" fontId="24" fillId="33" borderId="19" xfId="0" applyFont="1" applyFill="1" applyBorder="1" applyAlignment="1" applyProtection="1">
      <alignment vertical="center" wrapText="1"/>
      <protection/>
    </xf>
    <xf numFmtId="0" fontId="24" fillId="33" borderId="19" xfId="0" applyFont="1" applyFill="1" applyBorder="1" applyAlignment="1" applyProtection="1">
      <alignment horizontal="left" vertical="center" wrapText="1"/>
      <protection/>
    </xf>
    <xf numFmtId="0" fontId="24" fillId="33" borderId="13" xfId="0" applyFont="1" applyFill="1" applyBorder="1" applyAlignment="1" applyProtection="1">
      <alignment horizontal="left" vertical="center" wrapText="1"/>
      <protection/>
    </xf>
    <xf numFmtId="0" fontId="24" fillId="33" borderId="31" xfId="0" applyFont="1" applyFill="1" applyBorder="1" applyAlignment="1" applyProtection="1">
      <alignment horizontal="left" vertical="center" wrapText="1"/>
      <protection/>
    </xf>
    <xf numFmtId="0" fontId="24" fillId="33" borderId="10"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43" fontId="11" fillId="33" borderId="0" xfId="44" applyFont="1" applyFill="1" applyBorder="1" applyAlignment="1" applyProtection="1">
      <alignment horizontal="right" wrapText="1"/>
      <protection locked="0"/>
    </xf>
    <xf numFmtId="43" fontId="16" fillId="0" borderId="10" xfId="44" applyFont="1" applyFill="1" applyBorder="1" applyAlignment="1" applyProtection="1">
      <alignment vertical="center"/>
      <protection locked="0"/>
    </xf>
    <xf numFmtId="43" fontId="12" fillId="33" borderId="10" xfId="44" applyFont="1" applyFill="1" applyBorder="1" applyAlignment="1">
      <alignment horizontal="center" vertical="center"/>
    </xf>
    <xf numFmtId="43" fontId="11" fillId="0" borderId="0" xfId="44" applyFont="1" applyFill="1" applyBorder="1" applyAlignment="1" applyProtection="1">
      <alignment horizontal="right" wrapText="1"/>
      <protection locked="0"/>
    </xf>
    <xf numFmtId="0" fontId="11" fillId="0" borderId="19" xfId="0" applyFont="1" applyFill="1" applyBorder="1" applyAlignment="1" applyProtection="1">
      <alignment vertical="top" wrapText="1"/>
      <protection/>
    </xf>
    <xf numFmtId="171" fontId="16" fillId="33" borderId="10" xfId="42" applyNumberFormat="1" applyFont="1" applyFill="1" applyBorder="1" applyAlignment="1" applyProtection="1">
      <alignment horizontal="right"/>
      <protection locked="0"/>
    </xf>
    <xf numFmtId="0" fontId="16" fillId="33" borderId="10" xfId="0" applyFont="1" applyFill="1" applyBorder="1" applyAlignment="1" applyProtection="1">
      <alignment horizontal="right"/>
      <protection locked="0"/>
    </xf>
    <xf numFmtId="0" fontId="12" fillId="34" borderId="18" xfId="0" applyFont="1" applyFill="1" applyBorder="1" applyAlignment="1">
      <alignment horizontal="center" vertical="center"/>
    </xf>
    <xf numFmtId="0" fontId="21" fillId="33" borderId="0" xfId="0" applyFont="1" applyFill="1" applyBorder="1" applyAlignment="1" applyProtection="1">
      <alignment horizontal="center" vertical="center"/>
      <protection locked="0"/>
    </xf>
    <xf numFmtId="0" fontId="21" fillId="33" borderId="10" xfId="0" applyFont="1" applyFill="1" applyBorder="1" applyAlignment="1" applyProtection="1">
      <alignment horizontal="center" vertical="center"/>
      <protection locked="0"/>
    </xf>
    <xf numFmtId="0" fontId="16" fillId="9" borderId="42" xfId="0" applyFont="1" applyFill="1" applyBorder="1" applyAlignment="1" applyProtection="1">
      <alignment horizontal="center" vertical="center" wrapText="1"/>
      <protection locked="0"/>
    </xf>
    <xf numFmtId="0" fontId="16" fillId="9" borderId="38" xfId="0" applyFont="1" applyFill="1" applyBorder="1" applyAlignment="1" applyProtection="1">
      <alignment horizontal="center" vertical="center" wrapText="1"/>
      <protection locked="0"/>
    </xf>
    <xf numFmtId="0" fontId="11" fillId="9" borderId="38" xfId="0" applyFont="1" applyFill="1" applyBorder="1" applyAlignment="1" applyProtection="1">
      <alignment horizontal="left" vertical="top" wrapText="1"/>
      <protection/>
    </xf>
    <xf numFmtId="0" fontId="11" fillId="9" borderId="38" xfId="0" applyFont="1" applyFill="1" applyBorder="1" applyAlignment="1" applyProtection="1">
      <alignment horizontal="center" vertical="center" wrapText="1"/>
      <protection locked="0"/>
    </xf>
    <xf numFmtId="0" fontId="16" fillId="9" borderId="10" xfId="0" applyFont="1" applyFill="1" applyBorder="1" applyAlignment="1" applyProtection="1">
      <alignment horizontal="center" vertical="center" wrapText="1"/>
      <protection locked="0"/>
    </xf>
    <xf numFmtId="0" fontId="12" fillId="9" borderId="10" xfId="0" applyFont="1" applyFill="1" applyBorder="1" applyAlignment="1">
      <alignment horizontal="center" vertical="center"/>
    </xf>
    <xf numFmtId="171" fontId="16" fillId="9" borderId="10" xfId="0" applyNumberFormat="1" applyFont="1" applyFill="1" applyBorder="1" applyAlignment="1" applyProtection="1">
      <alignment horizontal="right"/>
      <protection locked="0"/>
    </xf>
    <xf numFmtId="171" fontId="12" fillId="9" borderId="10" xfId="44" applyNumberFormat="1" applyFont="1" applyFill="1" applyBorder="1" applyAlignment="1" applyProtection="1">
      <alignment horizontal="right" vertical="center"/>
      <protection locked="0"/>
    </xf>
    <xf numFmtId="0" fontId="3" fillId="0" borderId="14" xfId="0" applyFont="1" applyBorder="1" applyAlignment="1">
      <alignment wrapText="1"/>
    </xf>
    <xf numFmtId="0" fontId="3" fillId="0" borderId="11" xfId="0" applyFont="1" applyBorder="1" applyAlignment="1">
      <alignment wrapText="1"/>
    </xf>
    <xf numFmtId="43" fontId="24" fillId="33" borderId="19" xfId="42" applyFont="1" applyFill="1" applyBorder="1" applyAlignment="1" applyProtection="1">
      <alignment horizontal="center" vertical="center" wrapText="1"/>
      <protection/>
    </xf>
    <xf numFmtId="43" fontId="25" fillId="33" borderId="13" xfId="42" applyFont="1" applyFill="1" applyBorder="1" applyAlignment="1" applyProtection="1">
      <alignment horizontal="center" vertical="center"/>
      <protection locked="0"/>
    </xf>
    <xf numFmtId="0" fontId="24" fillId="33" borderId="14" xfId="0" applyFont="1" applyFill="1" applyBorder="1" applyAlignment="1" applyProtection="1">
      <alignment horizontal="left" vertical="center" wrapText="1"/>
      <protection/>
    </xf>
    <xf numFmtId="43" fontId="24" fillId="33" borderId="14" xfId="42" applyFont="1" applyFill="1" applyBorder="1" applyAlignment="1" applyProtection="1">
      <alignment horizontal="center" vertical="center" wrapText="1"/>
      <protection/>
    </xf>
    <xf numFmtId="43" fontId="24" fillId="33" borderId="22" xfId="42" applyFont="1" applyFill="1" applyBorder="1" applyAlignment="1" applyProtection="1">
      <alignment horizontal="center" vertical="center" wrapText="1"/>
      <protection/>
    </xf>
    <xf numFmtId="43" fontId="24" fillId="33" borderId="21" xfId="42" applyFont="1" applyFill="1" applyBorder="1" applyAlignment="1" applyProtection="1">
      <alignment horizontal="center" vertical="center" wrapText="1"/>
      <protection/>
    </xf>
    <xf numFmtId="43" fontId="24" fillId="34" borderId="21" xfId="42" applyFont="1" applyFill="1" applyBorder="1" applyAlignment="1" applyProtection="1">
      <alignment horizontal="center" vertical="center" wrapText="1"/>
      <protection/>
    </xf>
    <xf numFmtId="0" fontId="24" fillId="33" borderId="11" xfId="0" applyFont="1" applyFill="1" applyBorder="1" applyAlignment="1" applyProtection="1">
      <alignment horizontal="left" vertical="center" wrapText="1"/>
      <protection/>
    </xf>
    <xf numFmtId="43" fontId="24" fillId="33" borderId="11" xfId="42" applyFont="1" applyFill="1" applyBorder="1" applyAlignment="1" applyProtection="1">
      <alignment horizontal="center" vertical="center" wrapText="1"/>
      <protection/>
    </xf>
    <xf numFmtId="43" fontId="24" fillId="33" borderId="43" xfId="42" applyFont="1" applyFill="1" applyBorder="1" applyAlignment="1" applyProtection="1">
      <alignment horizontal="center" vertical="center" wrapText="1"/>
      <protection/>
    </xf>
    <xf numFmtId="0" fontId="112" fillId="8" borderId="10" xfId="0" applyFont="1" applyFill="1" applyBorder="1" applyAlignment="1" applyProtection="1">
      <alignment vertical="center"/>
      <protection locked="0"/>
    </xf>
    <xf numFmtId="0" fontId="112" fillId="8" borderId="10" xfId="0" applyFont="1" applyFill="1" applyBorder="1" applyAlignment="1" applyProtection="1">
      <alignment/>
      <protection locked="0"/>
    </xf>
    <xf numFmtId="0" fontId="113" fillId="8" borderId="10" xfId="0" applyFont="1" applyFill="1" applyBorder="1" applyAlignment="1" applyProtection="1">
      <alignment vertical="center"/>
      <protection locked="0"/>
    </xf>
    <xf numFmtId="0" fontId="112" fillId="8" borderId="10" xfId="0" applyFont="1" applyFill="1" applyBorder="1" applyAlignment="1" applyProtection="1">
      <alignment horizontal="center"/>
      <protection locked="0"/>
    </xf>
    <xf numFmtId="171" fontId="112" fillId="8" borderId="10" xfId="42" applyNumberFormat="1" applyFont="1" applyFill="1" applyBorder="1" applyAlignment="1" applyProtection="1">
      <alignment horizontal="right"/>
      <protection locked="0"/>
    </xf>
    <xf numFmtId="0" fontId="112" fillId="8" borderId="10" xfId="0" applyFont="1" applyFill="1" applyBorder="1" applyAlignment="1" applyProtection="1">
      <alignment horizontal="right"/>
      <protection locked="0"/>
    </xf>
    <xf numFmtId="171" fontId="114" fillId="34" borderId="10" xfId="0" applyNumberFormat="1" applyFont="1" applyFill="1" applyBorder="1" applyAlignment="1" applyProtection="1">
      <alignment horizontal="right"/>
      <protection locked="0"/>
    </xf>
    <xf numFmtId="43" fontId="113" fillId="0" borderId="0" xfId="42" applyFont="1" applyFill="1" applyBorder="1" applyAlignment="1" applyProtection="1">
      <alignment/>
      <protection locked="0"/>
    </xf>
    <xf numFmtId="0" fontId="113" fillId="0" borderId="0" xfId="0" applyFont="1" applyFill="1" applyBorder="1" applyAlignment="1" applyProtection="1">
      <alignment/>
      <protection locked="0"/>
    </xf>
    <xf numFmtId="0" fontId="5" fillId="9" borderId="10" xfId="0" applyFont="1" applyFill="1" applyBorder="1" applyAlignment="1" applyProtection="1">
      <alignment horizontal="center" vertical="center" wrapText="1"/>
      <protection locked="0"/>
    </xf>
    <xf numFmtId="0" fontId="3" fillId="9" borderId="10" xfId="0" applyFont="1" applyFill="1" applyBorder="1" applyAlignment="1" applyProtection="1">
      <alignment horizontal="center" vertical="center" wrapText="1"/>
      <protection/>
    </xf>
    <xf numFmtId="0" fontId="3" fillId="9" borderId="10" xfId="0" applyFont="1" applyFill="1" applyBorder="1" applyAlignment="1" applyProtection="1">
      <alignment horizontal="left" vertical="center" wrapText="1"/>
      <protection/>
    </xf>
    <xf numFmtId="0" fontId="11" fillId="15" borderId="0" xfId="0" applyFont="1" applyFill="1" applyBorder="1" applyAlignment="1" applyProtection="1">
      <alignment horizontal="left" vertical="top" wrapText="1"/>
      <protection/>
    </xf>
    <xf numFmtId="0" fontId="11" fillId="15" borderId="44" xfId="0" applyFont="1" applyFill="1" applyBorder="1" applyAlignment="1" applyProtection="1">
      <alignment horizontal="left" vertical="top" wrapText="1"/>
      <protection/>
    </xf>
    <xf numFmtId="171" fontId="5" fillId="15" borderId="10" xfId="0" applyNumberFormat="1" applyFont="1" applyFill="1" applyBorder="1" applyAlignment="1" applyProtection="1">
      <alignment horizontal="right"/>
      <protection locked="0"/>
    </xf>
    <xf numFmtId="171" fontId="5" fillId="15" borderId="18" xfId="44" applyNumberFormat="1" applyFont="1" applyFill="1" applyBorder="1" applyAlignment="1" applyProtection="1">
      <alignment horizontal="right"/>
      <protection locked="0"/>
    </xf>
    <xf numFmtId="3" fontId="9" fillId="8" borderId="45" xfId="0" applyNumberFormat="1" applyFont="1" applyFill="1" applyBorder="1" applyAlignment="1">
      <alignment horizontal="center" vertical="center"/>
    </xf>
    <xf numFmtId="3" fontId="9" fillId="8" borderId="28" xfId="0" applyNumberFormat="1" applyFont="1" applyFill="1" applyBorder="1" applyAlignment="1">
      <alignment horizontal="center" vertical="center"/>
    </xf>
    <xf numFmtId="3" fontId="9" fillId="8" borderId="41" xfId="0" applyNumberFormat="1" applyFont="1" applyFill="1" applyBorder="1" applyAlignment="1">
      <alignment horizontal="center" vertical="center"/>
    </xf>
    <xf numFmtId="0" fontId="4" fillId="15" borderId="10" xfId="0" applyFont="1" applyFill="1" applyBorder="1" applyAlignment="1" applyProtection="1">
      <alignment horizontal="center" vertical="center" wrapText="1"/>
      <protection locked="0"/>
    </xf>
    <xf numFmtId="0" fontId="11" fillId="15" borderId="10" xfId="0" applyFont="1" applyFill="1" applyBorder="1" applyAlignment="1" applyProtection="1">
      <alignment horizontal="left" vertical="top" wrapText="1"/>
      <protection/>
    </xf>
    <xf numFmtId="0" fontId="5" fillId="15" borderId="10" xfId="0" applyFont="1" applyFill="1" applyBorder="1" applyAlignment="1" applyProtection="1">
      <alignment horizontal="center" vertical="center" wrapText="1"/>
      <protection locked="0"/>
    </xf>
    <xf numFmtId="0" fontId="9" fillId="15" borderId="10" xfId="0" applyFont="1" applyFill="1" applyBorder="1" applyAlignment="1">
      <alignment horizontal="center" vertical="center"/>
    </xf>
    <xf numFmtId="0" fontId="11" fillId="15" borderId="0" xfId="0" applyFont="1" applyFill="1" applyBorder="1" applyAlignment="1" applyProtection="1">
      <alignment vertical="center" wrapText="1"/>
      <protection/>
    </xf>
    <xf numFmtId="0" fontId="12" fillId="15" borderId="0" xfId="58" applyFont="1" applyFill="1" applyBorder="1" applyAlignment="1" applyProtection="1">
      <alignment horizontal="center" vertical="center" wrapText="1"/>
      <protection/>
    </xf>
    <xf numFmtId="0" fontId="11" fillId="15" borderId="18" xfId="0" applyFont="1" applyFill="1" applyBorder="1" applyAlignment="1" applyProtection="1">
      <alignment horizontal="left" vertical="top" wrapText="1"/>
      <protection/>
    </xf>
    <xf numFmtId="0" fontId="5" fillId="15" borderId="18" xfId="0" applyFont="1" applyFill="1" applyBorder="1" applyAlignment="1" applyProtection="1">
      <alignment horizontal="right"/>
      <protection locked="0"/>
    </xf>
    <xf numFmtId="0" fontId="11" fillId="15" borderId="32" xfId="0" applyFont="1" applyFill="1" applyBorder="1" applyAlignment="1" applyProtection="1">
      <alignment vertical="center" wrapText="1"/>
      <protection/>
    </xf>
    <xf numFmtId="0" fontId="12" fillId="15" borderId="31" xfId="58" applyFont="1" applyFill="1" applyBorder="1" applyAlignment="1" applyProtection="1">
      <alignment vertical="center" wrapText="1"/>
      <protection/>
    </xf>
    <xf numFmtId="0" fontId="11" fillId="15" borderId="31" xfId="0" applyFont="1" applyFill="1" applyBorder="1" applyAlignment="1" applyProtection="1">
      <alignment vertical="top" wrapText="1"/>
      <protection/>
    </xf>
    <xf numFmtId="0" fontId="11" fillId="15" borderId="11" xfId="0" applyFont="1" applyFill="1" applyBorder="1" applyAlignment="1" applyProtection="1">
      <alignment horizontal="left" vertical="top" wrapText="1"/>
      <protection/>
    </xf>
    <xf numFmtId="171" fontId="5" fillId="15" borderId="11" xfId="44" applyNumberFormat="1" applyFont="1" applyFill="1" applyBorder="1" applyAlignment="1" applyProtection="1">
      <alignment horizontal="right"/>
      <protection locked="0"/>
    </xf>
    <xf numFmtId="0" fontId="3" fillId="15" borderId="23" xfId="0" applyFont="1" applyFill="1" applyBorder="1" applyAlignment="1" applyProtection="1">
      <alignment wrapText="1"/>
      <protection locked="0"/>
    </xf>
    <xf numFmtId="171" fontId="5" fillId="15" borderId="19" xfId="0" applyNumberFormat="1" applyFont="1" applyFill="1" applyBorder="1" applyAlignment="1" applyProtection="1">
      <alignment horizontal="right"/>
      <protection locked="0"/>
    </xf>
    <xf numFmtId="0" fontId="6" fillId="15" borderId="0" xfId="0" applyFont="1" applyFill="1" applyBorder="1" applyAlignment="1" applyProtection="1">
      <alignment/>
      <protection locked="0"/>
    </xf>
    <xf numFmtId="0" fontId="16" fillId="15" borderId="13" xfId="0" applyFont="1" applyFill="1" applyBorder="1" applyAlignment="1" applyProtection="1">
      <alignment horizontal="center" vertical="center" wrapText="1"/>
      <protection locked="0"/>
    </xf>
    <xf numFmtId="0" fontId="11" fillId="15" borderId="10" xfId="0" applyFont="1" applyFill="1" applyBorder="1" applyAlignment="1" applyProtection="1">
      <alignment horizontal="left" vertical="top" wrapText="1"/>
      <protection/>
    </xf>
    <xf numFmtId="0" fontId="11" fillId="15" borderId="10" xfId="0" applyFont="1" applyFill="1" applyBorder="1" applyAlignment="1" applyProtection="1">
      <alignment horizontal="center" vertical="center" wrapText="1"/>
      <protection locked="0"/>
    </xf>
    <xf numFmtId="0" fontId="16" fillId="15" borderId="10" xfId="0" applyFont="1" applyFill="1" applyBorder="1" applyAlignment="1" applyProtection="1">
      <alignment horizontal="center" vertical="center" wrapText="1"/>
      <protection locked="0"/>
    </xf>
    <xf numFmtId="0" fontId="12" fillId="15" borderId="10" xfId="0" applyFont="1" applyFill="1" applyBorder="1" applyAlignment="1">
      <alignment horizontal="center" vertical="center"/>
    </xf>
    <xf numFmtId="171" fontId="16" fillId="15" borderId="10" xfId="0" applyNumberFormat="1" applyFont="1" applyFill="1" applyBorder="1" applyAlignment="1" applyProtection="1">
      <alignment horizontal="right"/>
      <protection locked="0"/>
    </xf>
    <xf numFmtId="171" fontId="12" fillId="15" borderId="10" xfId="44" applyNumberFormat="1" applyFont="1" applyFill="1" applyBorder="1" applyAlignment="1" applyProtection="1">
      <alignment horizontal="right" vertical="center"/>
      <protection locked="0"/>
    </xf>
    <xf numFmtId="171" fontId="16" fillId="15" borderId="10" xfId="42" applyNumberFormat="1" applyFont="1" applyFill="1" applyBorder="1" applyAlignment="1" applyProtection="1">
      <alignment horizontal="right"/>
      <protection locked="0"/>
    </xf>
    <xf numFmtId="43" fontId="103" fillId="15" borderId="0" xfId="42" applyFont="1" applyFill="1" applyBorder="1" applyAlignment="1" applyProtection="1">
      <alignment/>
      <protection locked="0"/>
    </xf>
    <xf numFmtId="43" fontId="2" fillId="33" borderId="0" xfId="0" applyNumberFormat="1" applyFont="1" applyFill="1" applyBorder="1" applyAlignment="1" applyProtection="1">
      <alignment/>
      <protection locked="0"/>
    </xf>
    <xf numFmtId="43" fontId="7" fillId="15" borderId="0" xfId="42" applyFont="1" applyFill="1" applyBorder="1" applyAlignment="1" applyProtection="1">
      <alignment/>
      <protection locked="0"/>
    </xf>
    <xf numFmtId="43" fontId="7" fillId="15" borderId="0" xfId="42" applyFont="1" applyFill="1" applyBorder="1" applyAlignment="1" applyProtection="1">
      <alignment horizontal="left"/>
      <protection locked="0"/>
    </xf>
    <xf numFmtId="0" fontId="11" fillId="15" borderId="42" xfId="0" applyFont="1" applyFill="1" applyBorder="1" applyAlignment="1" applyProtection="1">
      <alignment horizontal="center" vertical="center" wrapText="1"/>
      <protection/>
    </xf>
    <xf numFmtId="0" fontId="11" fillId="15" borderId="10" xfId="0" applyFont="1" applyFill="1" applyBorder="1" applyAlignment="1" applyProtection="1">
      <alignment horizontal="center" vertical="center" wrapText="1"/>
      <protection/>
    </xf>
    <xf numFmtId="0" fontId="11" fillId="15" borderId="10" xfId="0" applyFont="1" applyFill="1" applyBorder="1" applyAlignment="1" applyProtection="1">
      <alignment horizontal="left" vertical="center" wrapText="1"/>
      <protection/>
    </xf>
    <xf numFmtId="0" fontId="17" fillId="15" borderId="10" xfId="0" applyFont="1" applyFill="1" applyBorder="1" applyAlignment="1" applyProtection="1">
      <alignment wrapText="1"/>
      <protection locked="0"/>
    </xf>
    <xf numFmtId="43" fontId="13" fillId="33" borderId="0" xfId="0" applyNumberFormat="1" applyFont="1" applyFill="1" applyBorder="1" applyAlignment="1" applyProtection="1">
      <alignment/>
      <protection locked="0"/>
    </xf>
    <xf numFmtId="0" fontId="14" fillId="38" borderId="0" xfId="0" applyFont="1" applyFill="1" applyBorder="1" applyAlignment="1" applyProtection="1">
      <alignment vertical="center"/>
      <protection locked="0"/>
    </xf>
    <xf numFmtId="0" fontId="106" fillId="38" borderId="0" xfId="0" applyFont="1" applyFill="1" applyBorder="1" applyAlignment="1" applyProtection="1">
      <alignment/>
      <protection locked="0"/>
    </xf>
    <xf numFmtId="0" fontId="106" fillId="38" borderId="0" xfId="0" applyFont="1" applyFill="1" applyBorder="1" applyAlignment="1" applyProtection="1">
      <alignment vertical="center"/>
      <protection locked="0"/>
    </xf>
    <xf numFmtId="0" fontId="14" fillId="38" borderId="0" xfId="0" applyFont="1" applyFill="1" applyBorder="1" applyAlignment="1" applyProtection="1">
      <alignment horizontal="left"/>
      <protection locked="0"/>
    </xf>
    <xf numFmtId="0" fontId="14" fillId="38" borderId="0" xfId="0" applyFont="1" applyFill="1" applyBorder="1" applyAlignment="1" applyProtection="1">
      <alignment horizontal="center"/>
      <protection locked="0"/>
    </xf>
    <xf numFmtId="171" fontId="14" fillId="38" borderId="0" xfId="42" applyNumberFormat="1" applyFont="1" applyFill="1" applyBorder="1" applyAlignment="1" applyProtection="1">
      <alignment horizontal="right"/>
      <protection locked="0"/>
    </xf>
    <xf numFmtId="0" fontId="14" fillId="38" borderId="0" xfId="0" applyFont="1" applyFill="1" applyBorder="1" applyAlignment="1" applyProtection="1">
      <alignment horizontal="right"/>
      <protection locked="0"/>
    </xf>
    <xf numFmtId="0" fontId="12" fillId="33" borderId="10" xfId="0" applyFont="1" applyFill="1" applyBorder="1" applyAlignment="1" applyProtection="1">
      <alignment horizontal="left" vertical="top" wrapText="1"/>
      <protection/>
    </xf>
    <xf numFmtId="0" fontId="106" fillId="0" borderId="10" xfId="0" applyFont="1" applyFill="1" applyBorder="1" applyAlignment="1" applyProtection="1">
      <alignment horizontal="center" vertical="center"/>
      <protection locked="0"/>
    </xf>
    <xf numFmtId="171" fontId="11" fillId="0" borderId="10" xfId="42" applyNumberFormat="1" applyFont="1" applyFill="1" applyBorder="1" applyAlignment="1" applyProtection="1">
      <alignment horizontal="center" vertical="center"/>
      <protection locked="0"/>
    </xf>
    <xf numFmtId="171" fontId="16" fillId="34" borderId="10" xfId="42" applyNumberFormat="1" applyFont="1" applyFill="1" applyBorder="1" applyAlignment="1" applyProtection="1">
      <alignment horizontal="center" vertical="center"/>
      <protection locked="0"/>
    </xf>
    <xf numFmtId="171" fontId="11" fillId="0" borderId="10" xfId="42" applyNumberFormat="1" applyFont="1" applyFill="1" applyBorder="1" applyAlignment="1" applyProtection="1">
      <alignment horizontal="center" vertical="center" wrapText="1"/>
      <protection locked="0"/>
    </xf>
    <xf numFmtId="171" fontId="12" fillId="34" borderId="10" xfId="42" applyNumberFormat="1" applyFont="1" applyFill="1" applyBorder="1" applyAlignment="1" applyProtection="1">
      <alignment horizontal="center" vertical="center" wrapText="1"/>
      <protection locked="0"/>
    </xf>
    <xf numFmtId="0" fontId="14" fillId="0" borderId="10" xfId="0" applyFont="1" applyFill="1" applyBorder="1" applyAlignment="1" applyProtection="1">
      <alignment horizontal="center" vertical="center" wrapText="1"/>
      <protection locked="0"/>
    </xf>
    <xf numFmtId="0" fontId="14" fillId="0" borderId="10" xfId="0" applyFont="1" applyFill="1" applyBorder="1" applyAlignment="1" applyProtection="1">
      <alignment horizontal="center" vertical="center"/>
      <protection locked="0"/>
    </xf>
    <xf numFmtId="171" fontId="16" fillId="34" borderId="10" xfId="0" applyNumberFormat="1" applyFont="1" applyFill="1" applyBorder="1" applyAlignment="1" applyProtection="1">
      <alignment horizontal="center" vertical="center"/>
      <protection locked="0"/>
    </xf>
    <xf numFmtId="0" fontId="11" fillId="0" borderId="10" xfId="0" applyFont="1" applyFill="1" applyBorder="1" applyAlignment="1" applyProtection="1">
      <alignment horizontal="center" vertical="center"/>
      <protection locked="0"/>
    </xf>
    <xf numFmtId="43" fontId="11" fillId="0" borderId="10" xfId="44" applyFont="1" applyFill="1" applyBorder="1" applyAlignment="1" applyProtection="1">
      <alignment horizontal="center" vertical="center" wrapText="1"/>
      <protection locked="0"/>
    </xf>
    <xf numFmtId="43" fontId="14" fillId="0" borderId="0" xfId="42"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0" fontId="100" fillId="33" borderId="0" xfId="0" applyFont="1" applyFill="1" applyBorder="1" applyAlignment="1" applyProtection="1">
      <alignment horizontal="center" vertical="center"/>
      <protection locked="0"/>
    </xf>
    <xf numFmtId="0" fontId="3" fillId="33" borderId="0" xfId="0" applyFont="1" applyFill="1" applyBorder="1" applyAlignment="1" applyProtection="1">
      <alignment horizontal="center" vertical="center" wrapText="1"/>
      <protection locked="0"/>
    </xf>
    <xf numFmtId="171" fontId="2" fillId="33" borderId="0" xfId="44" applyNumberFormat="1" applyFont="1" applyFill="1" applyBorder="1" applyAlignment="1" applyProtection="1">
      <alignment horizontal="right" vertical="center"/>
      <protection locked="0"/>
    </xf>
    <xf numFmtId="0" fontId="2" fillId="33" borderId="0" xfId="0" applyFont="1" applyFill="1" applyBorder="1" applyAlignment="1" applyProtection="1">
      <alignment horizontal="right" vertical="center"/>
      <protection locked="0"/>
    </xf>
    <xf numFmtId="0" fontId="3" fillId="33" borderId="0" xfId="0" applyFont="1" applyFill="1" applyBorder="1" applyAlignment="1" applyProtection="1">
      <alignment horizontal="right" vertical="center"/>
      <protection locked="0"/>
    </xf>
    <xf numFmtId="171" fontId="3" fillId="33" borderId="0" xfId="44" applyNumberFormat="1" applyFont="1" applyFill="1" applyBorder="1" applyAlignment="1" applyProtection="1">
      <alignment horizontal="right" vertical="center"/>
      <protection locked="0"/>
    </xf>
    <xf numFmtId="171" fontId="3" fillId="33" borderId="0" xfId="44" applyNumberFormat="1" applyFont="1" applyFill="1" applyBorder="1" applyAlignment="1" applyProtection="1">
      <alignment horizontal="right" vertical="center" wrapText="1"/>
      <protection locked="0"/>
    </xf>
    <xf numFmtId="171" fontId="5" fillId="33" borderId="0" xfId="44" applyNumberFormat="1" applyFont="1" applyFill="1" applyBorder="1" applyAlignment="1" applyProtection="1">
      <alignment horizontal="right" vertical="center" wrapText="1"/>
      <protection locked="0"/>
    </xf>
    <xf numFmtId="171" fontId="2" fillId="33" borderId="0" xfId="44" applyNumberFormat="1" applyFont="1" applyFill="1" applyBorder="1" applyAlignment="1" applyProtection="1">
      <alignment horizontal="right" vertical="center" wrapText="1"/>
      <protection locked="0"/>
    </xf>
    <xf numFmtId="0" fontId="102"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171" fontId="5" fillId="34" borderId="10" xfId="44" applyNumberFormat="1" applyFont="1" applyFill="1" applyBorder="1" applyAlignment="1" applyProtection="1">
      <alignment horizontal="right" vertical="center"/>
      <protection locked="0"/>
    </xf>
    <xf numFmtId="171" fontId="5" fillId="2" borderId="10" xfId="44" applyNumberFormat="1" applyFont="1" applyFill="1" applyBorder="1" applyAlignment="1" applyProtection="1">
      <alignment horizontal="right" vertical="center"/>
      <protection locked="0"/>
    </xf>
    <xf numFmtId="0" fontId="5" fillId="2" borderId="10" xfId="0" applyFont="1" applyFill="1" applyBorder="1" applyAlignment="1" applyProtection="1">
      <alignment horizontal="right" vertical="center"/>
      <protection locked="0"/>
    </xf>
    <xf numFmtId="171" fontId="5" fillId="0" borderId="10" xfId="44" applyNumberFormat="1" applyFont="1" applyFill="1" applyBorder="1" applyAlignment="1" applyProtection="1">
      <alignment horizontal="right" vertical="center"/>
      <protection locked="0"/>
    </xf>
    <xf numFmtId="171" fontId="5" fillId="4" borderId="10" xfId="44" applyNumberFormat="1" applyFont="1" applyFill="1" applyBorder="1" applyAlignment="1" applyProtection="1">
      <alignment horizontal="right" vertical="center"/>
      <protection locked="0"/>
    </xf>
    <xf numFmtId="0" fontId="5" fillId="0" borderId="0" xfId="0" applyFont="1" applyFill="1" applyBorder="1" applyAlignment="1" applyProtection="1">
      <alignment vertical="center"/>
      <protection locked="0"/>
    </xf>
    <xf numFmtId="0" fontId="3" fillId="33" borderId="10" xfId="0" applyFont="1" applyFill="1" applyBorder="1" applyAlignment="1">
      <alignment vertical="center" wrapText="1"/>
    </xf>
    <xf numFmtId="0" fontId="3" fillId="0" borderId="10" xfId="0" applyFont="1" applyBorder="1" applyAlignment="1">
      <alignment vertical="center" wrapText="1"/>
    </xf>
    <xf numFmtId="0" fontId="3" fillId="0" borderId="10"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5" fillId="0" borderId="10" xfId="0" applyFont="1" applyFill="1" applyBorder="1" applyAlignment="1" applyProtection="1">
      <alignment horizontal="right" vertical="center"/>
      <protection locked="0"/>
    </xf>
    <xf numFmtId="0" fontId="3" fillId="34" borderId="10" xfId="0" applyFont="1" applyFill="1" applyBorder="1" applyAlignment="1" applyProtection="1">
      <alignment horizontal="left" vertical="center" wrapText="1"/>
      <protection/>
    </xf>
    <xf numFmtId="171" fontId="5" fillId="9" borderId="10" xfId="44" applyNumberFormat="1" applyFont="1" applyFill="1" applyBorder="1" applyAlignment="1" applyProtection="1">
      <alignment horizontal="right" vertical="center"/>
      <protection locked="0"/>
    </xf>
    <xf numFmtId="0" fontId="5" fillId="9" borderId="10" xfId="0" applyFont="1" applyFill="1" applyBorder="1" applyAlignment="1" applyProtection="1">
      <alignment horizontal="right" vertical="center"/>
      <protection locked="0"/>
    </xf>
    <xf numFmtId="171" fontId="5" fillId="9" borderId="10" xfId="0" applyNumberFormat="1" applyFont="1" applyFill="1" applyBorder="1" applyAlignment="1" applyProtection="1">
      <alignment horizontal="right" vertical="center"/>
      <protection locked="0"/>
    </xf>
    <xf numFmtId="0" fontId="100" fillId="0" borderId="0" xfId="0" applyFont="1" applyFill="1" applyBorder="1" applyAlignment="1" applyProtection="1">
      <alignment horizontal="left" vertical="center"/>
      <protection locked="0"/>
    </xf>
    <xf numFmtId="0" fontId="100"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wrapText="1"/>
      <protection locked="0"/>
    </xf>
    <xf numFmtId="171" fontId="2" fillId="0" borderId="0" xfId="44" applyNumberFormat="1" applyFont="1" applyFill="1" applyBorder="1" applyAlignment="1" applyProtection="1">
      <alignment horizontal="right" vertical="center"/>
      <protection locked="0"/>
    </xf>
    <xf numFmtId="0" fontId="2" fillId="0" borderId="0" xfId="0" applyFont="1" applyFill="1" applyBorder="1" applyAlignment="1" applyProtection="1">
      <alignment horizontal="right" vertical="center"/>
      <protection locked="0"/>
    </xf>
    <xf numFmtId="0" fontId="3" fillId="0" borderId="0" xfId="0" applyFont="1" applyFill="1" applyBorder="1" applyAlignment="1" applyProtection="1">
      <alignment horizontal="right" vertical="center"/>
      <protection locked="0"/>
    </xf>
    <xf numFmtId="171" fontId="3" fillId="0" borderId="0" xfId="44" applyNumberFormat="1" applyFont="1" applyFill="1" applyBorder="1" applyAlignment="1" applyProtection="1">
      <alignment horizontal="right" vertical="center"/>
      <protection locked="0"/>
    </xf>
    <xf numFmtId="171" fontId="3" fillId="0" borderId="0" xfId="44" applyNumberFormat="1" applyFont="1" applyFill="1" applyBorder="1" applyAlignment="1" applyProtection="1">
      <alignment horizontal="right" vertical="center" wrapText="1"/>
      <protection locked="0"/>
    </xf>
    <xf numFmtId="171" fontId="5" fillId="0" borderId="0" xfId="44" applyNumberFormat="1" applyFont="1" applyFill="1" applyBorder="1" applyAlignment="1" applyProtection="1">
      <alignment horizontal="right" vertical="center" wrapText="1"/>
      <protection locked="0"/>
    </xf>
    <xf numFmtId="171" fontId="2" fillId="0" borderId="0" xfId="44" applyNumberFormat="1" applyFont="1" applyFill="1" applyBorder="1" applyAlignment="1" applyProtection="1">
      <alignment horizontal="right" vertical="center" wrapText="1"/>
      <protection locked="0"/>
    </xf>
    <xf numFmtId="0" fontId="3" fillId="33" borderId="10" xfId="0" applyFont="1" applyFill="1" applyBorder="1" applyAlignment="1" applyProtection="1">
      <alignment vertical="center" wrapText="1"/>
      <protection locked="0"/>
    </xf>
    <xf numFmtId="0" fontId="3" fillId="33" borderId="10" xfId="0" applyFont="1" applyFill="1" applyBorder="1" applyAlignment="1" applyProtection="1">
      <alignment horizontal="left" vertical="center" wrapText="1"/>
      <protection/>
    </xf>
    <xf numFmtId="0" fontId="16" fillId="33" borderId="18" xfId="0" applyFont="1" applyFill="1" applyBorder="1" applyAlignment="1" applyProtection="1">
      <alignment horizontal="center" wrapText="1"/>
      <protection locked="0"/>
    </xf>
    <xf numFmtId="43" fontId="12" fillId="33" borderId="12" xfId="44" applyFont="1" applyFill="1" applyBorder="1" applyAlignment="1">
      <alignment horizontal="center" vertical="center"/>
    </xf>
    <xf numFmtId="0" fontId="11" fillId="33" borderId="10" xfId="0" applyFont="1" applyFill="1" applyBorder="1" applyAlignment="1" applyProtection="1">
      <alignment wrapText="1"/>
      <protection locked="0"/>
    </xf>
    <xf numFmtId="0" fontId="11" fillId="33" borderId="10" xfId="0" applyFont="1" applyFill="1" applyBorder="1" applyAlignment="1" applyProtection="1">
      <alignment vertical="center" wrapText="1"/>
      <protection locked="0"/>
    </xf>
    <xf numFmtId="171" fontId="16" fillId="34" borderId="10" xfId="0" applyNumberFormat="1" applyFont="1" applyFill="1" applyBorder="1" applyAlignment="1" applyProtection="1">
      <alignment horizontal="right" vertical="center"/>
      <protection locked="0"/>
    </xf>
    <xf numFmtId="0" fontId="24" fillId="33" borderId="10" xfId="0" applyFont="1" applyFill="1" applyBorder="1" applyAlignment="1" applyProtection="1">
      <alignment vertical="center" wrapText="1"/>
      <protection/>
    </xf>
    <xf numFmtId="0" fontId="24" fillId="33" borderId="10" xfId="0" applyFont="1" applyFill="1" applyBorder="1" applyAlignment="1" applyProtection="1">
      <alignment horizontal="left" vertical="center" wrapText="1"/>
      <protection/>
    </xf>
    <xf numFmtId="0" fontId="23" fillId="39" borderId="10" xfId="0" applyFont="1" applyFill="1" applyBorder="1" applyAlignment="1" applyProtection="1">
      <alignment horizontal="center" vertical="center" wrapText="1"/>
      <protection locked="0"/>
    </xf>
    <xf numFmtId="0" fontId="24" fillId="33" borderId="19" xfId="0" applyFont="1" applyFill="1" applyBorder="1" applyAlignment="1" applyProtection="1">
      <alignment horizontal="left" vertical="center" wrapText="1"/>
      <protection/>
    </xf>
    <xf numFmtId="0" fontId="24" fillId="33" borderId="13" xfId="0" applyFont="1" applyFill="1" applyBorder="1" applyAlignment="1" applyProtection="1">
      <alignment horizontal="left" vertical="center" wrapText="1"/>
      <protection/>
    </xf>
    <xf numFmtId="0" fontId="109" fillId="40" borderId="12" xfId="0" applyFont="1" applyFill="1" applyBorder="1" applyAlignment="1" applyProtection="1">
      <alignment horizontal="left" vertical="center" wrapText="1"/>
      <protection/>
    </xf>
    <xf numFmtId="0" fontId="15" fillId="40" borderId="12" xfId="0" applyFont="1" applyFill="1" applyBorder="1" applyAlignment="1" applyProtection="1">
      <alignment horizontal="left" vertical="center" wrapText="1"/>
      <protection/>
    </xf>
    <xf numFmtId="0" fontId="15" fillId="39" borderId="12" xfId="0" applyFont="1" applyFill="1" applyBorder="1" applyAlignment="1" applyProtection="1">
      <alignment horizontal="left" vertical="center" wrapText="1"/>
      <protection/>
    </xf>
    <xf numFmtId="0" fontId="15" fillId="40" borderId="12" xfId="0" applyFont="1" applyFill="1" applyBorder="1" applyAlignment="1" applyProtection="1">
      <alignment horizontal="left" vertical="center" wrapText="1"/>
      <protection/>
    </xf>
    <xf numFmtId="0" fontId="115" fillId="39" borderId="12" xfId="0" applyFont="1" applyFill="1" applyBorder="1" applyAlignment="1" applyProtection="1">
      <alignment vertical="center"/>
      <protection locked="0"/>
    </xf>
    <xf numFmtId="0" fontId="116" fillId="40" borderId="12" xfId="0" applyFont="1" applyFill="1" applyBorder="1" applyAlignment="1" applyProtection="1">
      <alignment horizontal="center" vertical="center" wrapText="1"/>
      <protection/>
    </xf>
    <xf numFmtId="0" fontId="5" fillId="0" borderId="10" xfId="58"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11" fillId="0" borderId="19" xfId="0" applyFont="1" applyFill="1" applyBorder="1" applyAlignment="1" applyProtection="1">
      <alignment horizontal="left" vertical="center" wrapText="1"/>
      <protection/>
    </xf>
    <xf numFmtId="43" fontId="11" fillId="0" borderId="10" xfId="42" applyFont="1" applyFill="1" applyBorder="1" applyAlignment="1" applyProtection="1">
      <alignment horizontal="left" vertical="center" wrapText="1"/>
      <protection/>
    </xf>
    <xf numFmtId="171" fontId="16" fillId="2" borderId="10" xfId="42" applyNumberFormat="1" applyFont="1" applyFill="1" applyBorder="1" applyAlignment="1" applyProtection="1">
      <alignment horizontal="right" vertical="center"/>
      <protection locked="0"/>
    </xf>
    <xf numFmtId="0" fontId="16" fillId="2" borderId="10" xfId="0" applyFont="1" applyFill="1" applyBorder="1" applyAlignment="1" applyProtection="1">
      <alignment horizontal="right" vertical="center"/>
      <protection locked="0"/>
    </xf>
    <xf numFmtId="0" fontId="16" fillId="0" borderId="10" xfId="0" applyFont="1" applyFill="1" applyBorder="1" applyAlignment="1" applyProtection="1">
      <alignment horizontal="right" vertical="center"/>
      <protection locked="0"/>
    </xf>
    <xf numFmtId="171" fontId="16" fillId="4" borderId="10" xfId="42" applyNumberFormat="1" applyFont="1" applyFill="1" applyBorder="1" applyAlignment="1" applyProtection="1">
      <alignment horizontal="right" vertical="center"/>
      <protection locked="0"/>
    </xf>
    <xf numFmtId="171" fontId="18" fillId="34" borderId="10" xfId="42" applyNumberFormat="1" applyFont="1" applyFill="1" applyBorder="1" applyAlignment="1" applyProtection="1">
      <alignment horizontal="right" vertical="center"/>
      <protection locked="0"/>
    </xf>
    <xf numFmtId="43" fontId="14" fillId="0" borderId="0" xfId="42" applyFont="1" applyFill="1" applyBorder="1" applyAlignment="1" applyProtection="1">
      <alignment vertical="center"/>
      <protection locked="0"/>
    </xf>
    <xf numFmtId="0" fontId="16" fillId="9" borderId="30" xfId="0" applyFont="1" applyFill="1" applyBorder="1" applyAlignment="1" applyProtection="1">
      <alignment horizontal="center" vertical="center" wrapText="1"/>
      <protection locked="0"/>
    </xf>
    <xf numFmtId="0" fontId="12" fillId="9" borderId="12" xfId="0" applyFont="1" applyFill="1" applyBorder="1" applyAlignment="1">
      <alignment horizontal="center" vertical="center"/>
    </xf>
    <xf numFmtId="0" fontId="11" fillId="9" borderId="30" xfId="0" applyFont="1" applyFill="1" applyBorder="1" applyAlignment="1" applyProtection="1">
      <alignment horizontal="center" vertical="center" wrapText="1"/>
      <protection locked="0"/>
    </xf>
    <xf numFmtId="0" fontId="11" fillId="9" borderId="38" xfId="0" applyFont="1" applyFill="1" applyBorder="1" applyAlignment="1" applyProtection="1">
      <alignment wrapText="1"/>
      <protection locked="0"/>
    </xf>
    <xf numFmtId="0" fontId="16" fillId="9" borderId="18" xfId="0" applyFont="1" applyFill="1" applyBorder="1" applyAlignment="1" applyProtection="1">
      <alignment horizontal="center" wrapText="1"/>
      <protection locked="0"/>
    </xf>
    <xf numFmtId="171" fontId="12" fillId="34" borderId="10" xfId="42" applyNumberFormat="1" applyFont="1" applyFill="1" applyBorder="1" applyAlignment="1" applyProtection="1">
      <alignment horizontal="right"/>
      <protection locked="0"/>
    </xf>
    <xf numFmtId="171" fontId="11" fillId="33" borderId="10" xfId="42" applyNumberFormat="1" applyFont="1" applyFill="1" applyBorder="1" applyAlignment="1" applyProtection="1">
      <alignment horizontal="right" wrapText="1"/>
      <protection locked="0"/>
    </xf>
    <xf numFmtId="171" fontId="11" fillId="34" borderId="10" xfId="42" applyNumberFormat="1" applyFont="1" applyFill="1" applyBorder="1" applyAlignment="1" applyProtection="1">
      <alignment horizontal="right" wrapText="1"/>
      <protection locked="0"/>
    </xf>
    <xf numFmtId="0" fontId="16" fillId="39" borderId="46" xfId="0" applyFont="1" applyFill="1" applyBorder="1" applyAlignment="1" applyProtection="1">
      <alignment horizontal="center" vertical="center" wrapText="1"/>
      <protection locked="0"/>
    </xf>
    <xf numFmtId="0" fontId="16" fillId="39" borderId="33" xfId="0" applyFont="1" applyFill="1" applyBorder="1" applyAlignment="1" applyProtection="1">
      <alignment horizontal="center" vertical="center" wrapText="1"/>
      <protection locked="0"/>
    </xf>
    <xf numFmtId="171" fontId="16" fillId="39" borderId="10" xfId="42" applyNumberFormat="1" applyFont="1" applyFill="1" applyBorder="1" applyAlignment="1" applyProtection="1">
      <alignment horizontal="center" wrapText="1"/>
      <protection locked="0"/>
    </xf>
    <xf numFmtId="0" fontId="16" fillId="39" borderId="10" xfId="0" applyFont="1" applyFill="1" applyBorder="1" applyAlignment="1" applyProtection="1">
      <alignment horizontal="center" wrapText="1"/>
      <protection locked="0"/>
    </xf>
    <xf numFmtId="171" fontId="16" fillId="39" borderId="10" xfId="42" applyNumberFormat="1" applyFont="1" applyFill="1" applyBorder="1" applyAlignment="1" applyProtection="1">
      <alignment horizontal="center" vertical="center" wrapText="1"/>
      <protection locked="0"/>
    </xf>
    <xf numFmtId="0" fontId="16" fillId="39" borderId="10" xfId="0" applyFont="1" applyFill="1" applyBorder="1" applyAlignment="1" applyProtection="1">
      <alignment horizontal="center" vertical="center" wrapText="1"/>
      <protection locked="0"/>
    </xf>
    <xf numFmtId="43" fontId="16" fillId="39" borderId="10" xfId="44" applyFont="1" applyFill="1" applyBorder="1" applyAlignment="1" applyProtection="1">
      <alignment horizontal="center" wrapText="1"/>
      <protection locked="0"/>
    </xf>
    <xf numFmtId="171" fontId="16" fillId="39" borderId="10" xfId="42" applyNumberFormat="1" applyFont="1" applyFill="1" applyBorder="1" applyAlignment="1" applyProtection="1">
      <alignment wrapText="1"/>
      <protection locked="0"/>
    </xf>
    <xf numFmtId="0" fontId="16" fillId="39" borderId="25" xfId="0" applyFont="1" applyFill="1" applyBorder="1" applyAlignment="1" applyProtection="1">
      <alignment horizontal="center" vertical="center" wrapText="1"/>
      <protection locked="0"/>
    </xf>
    <xf numFmtId="0" fontId="16" fillId="39" borderId="20" xfId="0" applyFont="1" applyFill="1" applyBorder="1" applyAlignment="1" applyProtection="1">
      <alignment horizontal="center" vertical="center" wrapText="1"/>
      <protection locked="0"/>
    </xf>
    <xf numFmtId="0" fontId="16" fillId="39" borderId="18" xfId="0" applyFont="1" applyFill="1" applyBorder="1" applyAlignment="1" applyProtection="1">
      <alignment wrapText="1"/>
      <protection locked="0"/>
    </xf>
    <xf numFmtId="0" fontId="11" fillId="39" borderId="20" xfId="0" applyFont="1" applyFill="1" applyBorder="1" applyAlignment="1" applyProtection="1">
      <alignment horizontal="center" vertical="center" wrapText="1"/>
      <protection locked="0"/>
    </xf>
    <xf numFmtId="0" fontId="16" fillId="39" borderId="18" xfId="0" applyFont="1" applyFill="1" applyBorder="1" applyAlignment="1" applyProtection="1">
      <alignment horizontal="left" wrapText="1"/>
      <protection locked="0"/>
    </xf>
    <xf numFmtId="0" fontId="16" fillId="39" borderId="18" xfId="0" applyFont="1" applyFill="1" applyBorder="1" applyAlignment="1" applyProtection="1">
      <alignment horizontal="center" wrapText="1"/>
      <protection locked="0"/>
    </xf>
    <xf numFmtId="0" fontId="12" fillId="39" borderId="12" xfId="0" applyFont="1" applyFill="1" applyBorder="1" applyAlignment="1">
      <alignment horizontal="center" vertical="center"/>
    </xf>
    <xf numFmtId="171" fontId="12" fillId="33" borderId="10" xfId="42" applyNumberFormat="1" applyFont="1" applyFill="1" applyBorder="1" applyAlignment="1" applyProtection="1">
      <alignment horizontal="right"/>
      <protection locked="0"/>
    </xf>
    <xf numFmtId="171" fontId="16" fillId="33" borderId="10" xfId="42" applyNumberFormat="1" applyFont="1" applyFill="1" applyBorder="1" applyAlignment="1" applyProtection="1">
      <alignment horizontal="center" vertical="center"/>
      <protection locked="0"/>
    </xf>
    <xf numFmtId="171" fontId="11" fillId="33" borderId="10" xfId="42" applyNumberFormat="1" applyFont="1" applyFill="1" applyBorder="1" applyAlignment="1" applyProtection="1">
      <alignment horizontal="center" vertical="center" wrapText="1"/>
      <protection locked="0"/>
    </xf>
    <xf numFmtId="0" fontId="11" fillId="0" borderId="13" xfId="58" applyFont="1" applyFill="1" applyBorder="1" applyAlignment="1" applyProtection="1">
      <alignment horizontal="center" vertical="center" wrapText="1"/>
      <protection/>
    </xf>
    <xf numFmtId="0" fontId="14" fillId="33" borderId="0" xfId="0" applyFont="1" applyFill="1" applyBorder="1" applyAlignment="1" applyProtection="1">
      <alignment horizontal="left" vertical="center"/>
      <protection locked="0"/>
    </xf>
    <xf numFmtId="0" fontId="16" fillId="39" borderId="18" xfId="0" applyFont="1" applyFill="1" applyBorder="1" applyAlignment="1" applyProtection="1">
      <alignment horizontal="left" vertical="center" wrapText="1"/>
      <protection locked="0"/>
    </xf>
    <xf numFmtId="0" fontId="11" fillId="33" borderId="10" xfId="0" applyFont="1" applyFill="1" applyBorder="1" applyAlignment="1" applyProtection="1">
      <alignment horizontal="left" vertical="center" wrapText="1"/>
      <protection/>
    </xf>
    <xf numFmtId="0" fontId="11" fillId="9" borderId="12" xfId="0" applyFont="1" applyFill="1" applyBorder="1" applyAlignment="1" applyProtection="1">
      <alignment horizontal="left" vertical="center" wrapText="1"/>
      <protection/>
    </xf>
    <xf numFmtId="171" fontId="16" fillId="9" borderId="10" xfId="0" applyNumberFormat="1" applyFont="1" applyFill="1" applyBorder="1" applyAlignment="1" applyProtection="1">
      <alignment horizontal="right" vertical="center"/>
      <protection locked="0"/>
    </xf>
    <xf numFmtId="0" fontId="112" fillId="8" borderId="10" xfId="0" applyFont="1" applyFill="1" applyBorder="1" applyAlignment="1" applyProtection="1">
      <alignment horizontal="left" vertical="center"/>
      <protection locked="0"/>
    </xf>
    <xf numFmtId="0" fontId="14" fillId="0" borderId="0" xfId="0" applyFont="1" applyFill="1" applyBorder="1" applyAlignment="1" applyProtection="1">
      <alignment horizontal="left" vertical="center"/>
      <protection locked="0"/>
    </xf>
    <xf numFmtId="0" fontId="5" fillId="8" borderId="10" xfId="0" applyFont="1" applyFill="1" applyBorder="1" applyAlignment="1" applyProtection="1">
      <alignment horizontal="center" vertical="center" wrapText="1"/>
      <protection locked="0"/>
    </xf>
    <xf numFmtId="0" fontId="5" fillId="8" borderId="10" xfId="0" applyFont="1" applyFill="1" applyBorder="1" applyAlignment="1" applyProtection="1">
      <alignment horizontal="left" vertical="center" wrapText="1"/>
      <protection locked="0"/>
    </xf>
    <xf numFmtId="0" fontId="5" fillId="8" borderId="10" xfId="0" applyFont="1" applyFill="1" applyBorder="1" applyAlignment="1">
      <alignment horizontal="center" vertical="center"/>
    </xf>
    <xf numFmtId="0" fontId="5" fillId="0" borderId="10" xfId="58" applyFont="1" applyFill="1" applyBorder="1" applyAlignment="1" applyProtection="1">
      <alignment vertical="center" wrapText="1"/>
      <protection/>
    </xf>
    <xf numFmtId="171" fontId="5" fillId="34" borderId="10" xfId="0" applyNumberFormat="1" applyFont="1" applyFill="1" applyBorder="1" applyAlignment="1" applyProtection="1">
      <alignment horizontal="right" vertical="center"/>
      <protection locked="0"/>
    </xf>
    <xf numFmtId="171" fontId="5" fillId="34" borderId="10" xfId="44" applyNumberFormat="1" applyFont="1" applyFill="1" applyBorder="1" applyAlignment="1" applyProtection="1">
      <alignment vertical="center"/>
      <protection locked="0"/>
    </xf>
    <xf numFmtId="0" fontId="5" fillId="0" borderId="10" xfId="0" applyFont="1" applyFill="1" applyBorder="1" applyAlignment="1" applyProtection="1">
      <alignment vertical="center"/>
      <protection locked="0"/>
    </xf>
    <xf numFmtId="0" fontId="3" fillId="2" borderId="10" xfId="0" applyFont="1" applyFill="1" applyBorder="1" applyAlignment="1" applyProtection="1">
      <alignment vertical="center" wrapText="1"/>
      <protection locked="0"/>
    </xf>
    <xf numFmtId="0" fontId="3" fillId="0" borderId="10" xfId="0" applyFont="1" applyFill="1" applyBorder="1" applyAlignment="1" applyProtection="1">
      <alignment vertical="center" wrapText="1"/>
      <protection locked="0"/>
    </xf>
    <xf numFmtId="0" fontId="3" fillId="4" borderId="10" xfId="0" applyFont="1" applyFill="1" applyBorder="1" applyAlignment="1" applyProtection="1">
      <alignment vertical="center" wrapText="1"/>
      <protection locked="0"/>
    </xf>
    <xf numFmtId="0" fontId="3" fillId="34" borderId="10" xfId="0" applyFont="1" applyFill="1" applyBorder="1" applyAlignment="1" applyProtection="1">
      <alignment vertical="center" wrapText="1"/>
      <protection locked="0"/>
    </xf>
    <xf numFmtId="0" fontId="5" fillId="34" borderId="10" xfId="0" applyFont="1" applyFill="1" applyBorder="1" applyAlignment="1" applyProtection="1">
      <alignment vertical="center" wrapText="1"/>
      <protection locked="0"/>
    </xf>
    <xf numFmtId="171" fontId="5" fillId="33" borderId="10" xfId="44" applyNumberFormat="1" applyFont="1" applyFill="1" applyBorder="1" applyAlignment="1" applyProtection="1">
      <alignment horizontal="right" vertical="center"/>
      <protection locked="0"/>
    </xf>
    <xf numFmtId="0" fontId="3" fillId="35" borderId="10" xfId="0" applyFont="1" applyFill="1" applyBorder="1" applyAlignment="1" applyProtection="1">
      <alignment vertical="center" wrapText="1"/>
      <protection locked="0"/>
    </xf>
    <xf numFmtId="0" fontId="5" fillId="9" borderId="10" xfId="58" applyFont="1" applyFill="1" applyBorder="1" applyAlignment="1" applyProtection="1">
      <alignment vertical="center" wrapText="1"/>
      <protection/>
    </xf>
    <xf numFmtId="0" fontId="5" fillId="9" borderId="10" xfId="58" applyFont="1" applyFill="1" applyBorder="1" applyAlignment="1" applyProtection="1">
      <alignment horizontal="center" vertical="center" wrapText="1"/>
      <protection/>
    </xf>
    <xf numFmtId="0" fontId="3" fillId="9" borderId="10" xfId="0" applyFont="1" applyFill="1" applyBorder="1" applyAlignment="1" applyProtection="1">
      <alignment vertical="center" wrapText="1"/>
      <protection locked="0"/>
    </xf>
    <xf numFmtId="0" fontId="5" fillId="9" borderId="10" xfId="0" applyFont="1" applyFill="1" applyBorder="1" applyAlignment="1" applyProtection="1">
      <alignment horizontal="center" vertical="center" wrapText="1"/>
      <protection/>
    </xf>
    <xf numFmtId="0" fontId="5" fillId="9" borderId="10" xfId="0" applyFont="1" applyFill="1" applyBorder="1" applyAlignment="1" applyProtection="1">
      <alignment horizontal="left" vertical="center" wrapText="1"/>
      <protection/>
    </xf>
    <xf numFmtId="171" fontId="5" fillId="9" borderId="10" xfId="44" applyNumberFormat="1" applyFont="1" applyFill="1" applyBorder="1" applyAlignment="1" applyProtection="1">
      <alignment vertical="center"/>
      <protection locked="0"/>
    </xf>
    <xf numFmtId="0" fontId="3" fillId="33" borderId="10" xfId="0" applyFont="1" applyFill="1" applyBorder="1" applyAlignment="1" applyProtection="1">
      <alignment horizontal="center" vertical="center" wrapText="1"/>
      <protection/>
    </xf>
    <xf numFmtId="0" fontId="117" fillId="34" borderId="10" xfId="0" applyFont="1" applyFill="1" applyBorder="1" applyAlignment="1" applyProtection="1">
      <alignment horizontal="left" vertical="center" wrapText="1"/>
      <protection/>
    </xf>
    <xf numFmtId="0" fontId="2" fillId="0" borderId="10" xfId="0" applyFont="1" applyFill="1" applyBorder="1" applyAlignment="1" applyProtection="1">
      <alignment vertical="center"/>
      <protection locked="0"/>
    </xf>
    <xf numFmtId="0" fontId="7" fillId="0" borderId="10" xfId="0" applyFont="1" applyFill="1" applyBorder="1" applyAlignment="1" applyProtection="1">
      <alignment vertical="center"/>
      <protection locked="0"/>
    </xf>
    <xf numFmtId="0" fontId="100" fillId="0" borderId="10" xfId="0" applyFont="1" applyFill="1" applyBorder="1" applyAlignment="1" applyProtection="1">
      <alignment horizontal="left" vertical="center"/>
      <protection locked="0"/>
    </xf>
    <xf numFmtId="0" fontId="98" fillId="36" borderId="10" xfId="0" applyFont="1" applyFill="1" applyBorder="1" applyAlignment="1" applyProtection="1">
      <alignment horizontal="center" vertical="center"/>
      <protection locked="0"/>
    </xf>
    <xf numFmtId="0" fontId="5" fillId="36" borderId="10" xfId="0" applyFont="1" applyFill="1" applyBorder="1" applyAlignment="1" applyProtection="1">
      <alignment horizontal="center" vertical="center" wrapText="1"/>
      <protection locked="0"/>
    </xf>
    <xf numFmtId="0" fontId="7" fillId="36" borderId="10" xfId="0" applyFont="1" applyFill="1" applyBorder="1" applyAlignment="1" applyProtection="1">
      <alignment horizontal="center" vertical="center"/>
      <protection locked="0"/>
    </xf>
    <xf numFmtId="171" fontId="7" fillId="36" borderId="10" xfId="44" applyNumberFormat="1" applyFont="1" applyFill="1" applyBorder="1" applyAlignment="1" applyProtection="1">
      <alignment horizontal="right" vertical="center" wrapText="1"/>
      <protection locked="0"/>
    </xf>
    <xf numFmtId="171" fontId="5" fillId="33" borderId="10" xfId="0" applyNumberFormat="1" applyFont="1" applyFill="1" applyBorder="1" applyAlignment="1" applyProtection="1">
      <alignment horizontal="right" vertical="center"/>
      <protection locked="0"/>
    </xf>
    <xf numFmtId="0" fontId="5" fillId="39" borderId="10" xfId="0" applyFont="1" applyFill="1" applyBorder="1" applyAlignment="1" applyProtection="1">
      <alignment horizontal="center" vertical="center" wrapText="1"/>
      <protection locked="0"/>
    </xf>
    <xf numFmtId="171" fontId="5" fillId="39" borderId="10" xfId="44" applyNumberFormat="1" applyFont="1" applyFill="1" applyBorder="1" applyAlignment="1" applyProtection="1">
      <alignment horizontal="center" vertical="center" wrapText="1"/>
      <protection locked="0"/>
    </xf>
    <xf numFmtId="0" fontId="118" fillId="39" borderId="10" xfId="0" applyFont="1" applyFill="1" applyBorder="1" applyAlignment="1">
      <alignment vertical="center"/>
    </xf>
    <xf numFmtId="171" fontId="5" fillId="39" borderId="10" xfId="44" applyNumberFormat="1" applyFont="1" applyFill="1" applyBorder="1" applyAlignment="1" applyProtection="1">
      <alignment horizontal="right" vertical="center"/>
      <protection locked="0"/>
    </xf>
    <xf numFmtId="171" fontId="5" fillId="33" borderId="13" xfId="44" applyNumberFormat="1" applyFont="1" applyFill="1" applyBorder="1" applyAlignment="1" applyProtection="1">
      <alignment horizontal="right"/>
      <protection locked="0"/>
    </xf>
    <xf numFmtId="171" fontId="5" fillId="33" borderId="18" xfId="44" applyNumberFormat="1" applyFont="1" applyFill="1" applyBorder="1" applyAlignment="1" applyProtection="1">
      <alignment horizontal="right"/>
      <protection locked="0"/>
    </xf>
    <xf numFmtId="0" fontId="3" fillId="33" borderId="23" xfId="0" applyFont="1" applyFill="1" applyBorder="1" applyAlignment="1" applyProtection="1">
      <alignment wrapText="1"/>
      <protection locked="0"/>
    </xf>
    <xf numFmtId="171" fontId="5" fillId="33" borderId="10" xfId="44" applyNumberFormat="1" applyFont="1" applyFill="1" applyBorder="1" applyAlignment="1" applyProtection="1">
      <alignment horizontal="right"/>
      <protection locked="0"/>
    </xf>
    <xf numFmtId="43" fontId="5" fillId="34" borderId="23" xfId="44" applyFont="1" applyFill="1" applyBorder="1" applyAlignment="1" applyProtection="1">
      <alignment wrapText="1"/>
      <protection locked="0"/>
    </xf>
    <xf numFmtId="0" fontId="3" fillId="33" borderId="12" xfId="0" applyFont="1" applyFill="1" applyBorder="1" applyAlignment="1" applyProtection="1">
      <alignment wrapText="1"/>
      <protection locked="0"/>
    </xf>
    <xf numFmtId="171" fontId="5" fillId="33" borderId="19" xfId="44" applyNumberFormat="1" applyFont="1" applyFill="1" applyBorder="1" applyAlignment="1" applyProtection="1">
      <alignment horizontal="right"/>
      <protection locked="0"/>
    </xf>
    <xf numFmtId="171" fontId="5" fillId="33" borderId="11" xfId="44" applyNumberFormat="1" applyFont="1" applyFill="1" applyBorder="1" applyAlignment="1" applyProtection="1">
      <alignment horizontal="right"/>
      <protection locked="0"/>
    </xf>
    <xf numFmtId="0" fontId="5" fillId="39" borderId="46" xfId="0" applyFont="1" applyFill="1" applyBorder="1" applyAlignment="1" applyProtection="1">
      <alignment horizontal="center" vertical="center" wrapText="1"/>
      <protection locked="0"/>
    </xf>
    <xf numFmtId="0" fontId="5" fillId="39" borderId="33" xfId="0" applyFont="1" applyFill="1" applyBorder="1" applyAlignment="1" applyProtection="1">
      <alignment horizontal="center" vertical="center" wrapText="1"/>
      <protection locked="0"/>
    </xf>
    <xf numFmtId="171" fontId="5" fillId="39" borderId="10" xfId="44" applyNumberFormat="1" applyFont="1" applyFill="1" applyBorder="1" applyAlignment="1" applyProtection="1">
      <alignment horizontal="center" wrapText="1"/>
      <protection locked="0"/>
    </xf>
    <xf numFmtId="0" fontId="5" fillId="39" borderId="10" xfId="0" applyFont="1" applyFill="1" applyBorder="1" applyAlignment="1" applyProtection="1">
      <alignment horizontal="center" wrapText="1"/>
      <protection locked="0"/>
    </xf>
    <xf numFmtId="171" fontId="5" fillId="39" borderId="14" xfId="44" applyNumberFormat="1" applyFont="1" applyFill="1" applyBorder="1" applyAlignment="1" applyProtection="1">
      <alignment horizontal="right"/>
      <protection locked="0"/>
    </xf>
    <xf numFmtId="0" fontId="5" fillId="39" borderId="25" xfId="0" applyFont="1" applyFill="1" applyBorder="1" applyAlignment="1" applyProtection="1">
      <alignment horizontal="center" vertical="center" wrapText="1"/>
      <protection locked="0"/>
    </xf>
    <xf numFmtId="0" fontId="5" fillId="39" borderId="19" xfId="0" applyFont="1" applyFill="1" applyBorder="1" applyAlignment="1" applyProtection="1">
      <alignment horizontal="center" vertical="center" wrapText="1"/>
      <protection locked="0"/>
    </xf>
    <xf numFmtId="0" fontId="5" fillId="39" borderId="20" xfId="0" applyFont="1" applyFill="1" applyBorder="1" applyAlignment="1" applyProtection="1">
      <alignment horizontal="center" wrapText="1"/>
      <protection locked="0"/>
    </xf>
    <xf numFmtId="0" fontId="5" fillId="39" borderId="18" xfId="0" applyFont="1" applyFill="1" applyBorder="1" applyAlignment="1" applyProtection="1">
      <alignment horizontal="left" wrapText="1"/>
      <protection locked="0"/>
    </xf>
    <xf numFmtId="0" fontId="5" fillId="39" borderId="18" xfId="0" applyFont="1" applyFill="1" applyBorder="1" applyAlignment="1" applyProtection="1">
      <alignment horizontal="center" wrapText="1"/>
      <protection locked="0"/>
    </xf>
    <xf numFmtId="0" fontId="5" fillId="39" borderId="12" xfId="0" applyFont="1" applyFill="1" applyBorder="1" applyAlignment="1">
      <alignment horizontal="center" vertical="center"/>
    </xf>
    <xf numFmtId="0" fontId="5" fillId="39" borderId="12" xfId="0" applyFont="1" applyFill="1" applyBorder="1" applyAlignment="1">
      <alignment horizontal="center" vertical="center" wrapText="1"/>
    </xf>
    <xf numFmtId="0" fontId="17" fillId="34" borderId="10" xfId="0" applyFont="1" applyFill="1" applyBorder="1" applyAlignment="1" applyProtection="1">
      <alignment wrapText="1"/>
      <protection locked="0"/>
    </xf>
    <xf numFmtId="171" fontId="16" fillId="33" borderId="10" xfId="42" applyNumberFormat="1" applyFont="1" applyFill="1" applyBorder="1" applyAlignment="1" applyProtection="1">
      <alignment horizontal="right" vertical="center"/>
      <protection locked="0"/>
    </xf>
    <xf numFmtId="0" fontId="17" fillId="33" borderId="10" xfId="0" applyFont="1" applyFill="1" applyBorder="1" applyAlignment="1" applyProtection="1">
      <alignment wrapText="1"/>
      <protection locked="0"/>
    </xf>
    <xf numFmtId="171" fontId="23" fillId="39" borderId="10" xfId="42" applyNumberFormat="1" applyFont="1" applyFill="1" applyBorder="1" applyAlignment="1" applyProtection="1">
      <alignment horizontal="center" vertical="center" wrapText="1"/>
      <protection locked="0"/>
    </xf>
    <xf numFmtId="0" fontId="11" fillId="0" borderId="44" xfId="0" applyFont="1" applyFill="1" applyBorder="1" applyAlignment="1" applyProtection="1">
      <alignment vertical="center" wrapText="1"/>
      <protection/>
    </xf>
    <xf numFmtId="0" fontId="3" fillId="0" borderId="18" xfId="0" applyFont="1" applyFill="1" applyBorder="1" applyAlignment="1" applyProtection="1">
      <alignment wrapText="1"/>
      <protection locked="0"/>
    </xf>
    <xf numFmtId="0" fontId="3" fillId="4" borderId="18" xfId="0" applyFont="1" applyFill="1" applyBorder="1" applyAlignment="1" applyProtection="1">
      <alignment wrapText="1"/>
      <protection locked="0"/>
    </xf>
    <xf numFmtId="43" fontId="5" fillId="34" borderId="18" xfId="44" applyFont="1" applyFill="1" applyBorder="1" applyAlignment="1" applyProtection="1">
      <alignment wrapText="1"/>
      <protection locked="0"/>
    </xf>
    <xf numFmtId="0" fontId="3" fillId="34" borderId="18" xfId="0" applyFont="1" applyFill="1" applyBorder="1" applyAlignment="1" applyProtection="1">
      <alignment wrapText="1"/>
      <protection locked="0"/>
    </xf>
    <xf numFmtId="0" fontId="3" fillId="33" borderId="18" xfId="0" applyFont="1" applyFill="1" applyBorder="1" applyAlignment="1" applyProtection="1">
      <alignment wrapText="1"/>
      <protection locked="0"/>
    </xf>
    <xf numFmtId="43" fontId="103" fillId="34" borderId="18" xfId="44" applyFont="1" applyFill="1" applyBorder="1" applyAlignment="1" applyProtection="1">
      <alignment wrapText="1"/>
      <protection locked="0"/>
    </xf>
    <xf numFmtId="171" fontId="103" fillId="0" borderId="19" xfId="44" applyNumberFormat="1" applyFont="1" applyFill="1" applyBorder="1" applyAlignment="1" applyProtection="1">
      <alignment vertical="center"/>
      <protection locked="0"/>
    </xf>
    <xf numFmtId="171" fontId="5" fillId="34" borderId="34" xfId="44" applyNumberFormat="1" applyFont="1" applyFill="1" applyBorder="1" applyAlignment="1" applyProtection="1">
      <alignment vertical="center"/>
      <protection locked="0"/>
    </xf>
    <xf numFmtId="3" fontId="4" fillId="0" borderId="12" xfId="44" applyNumberFormat="1" applyFont="1" applyFill="1" applyBorder="1" applyAlignment="1" applyProtection="1">
      <alignment vertical="center"/>
      <protection locked="0"/>
    </xf>
    <xf numFmtId="0" fontId="4" fillId="33" borderId="10" xfId="0" applyFont="1" applyFill="1" applyBorder="1" applyAlignment="1" applyProtection="1">
      <alignment horizontal="center" vertical="center" wrapText="1"/>
      <protection locked="0"/>
    </xf>
    <xf numFmtId="171" fontId="23" fillId="39" borderId="10" xfId="44" applyNumberFormat="1" applyFont="1" applyFill="1" applyBorder="1" applyAlignment="1" applyProtection="1">
      <alignment vertical="center" wrapText="1"/>
      <protection locked="0"/>
    </xf>
    <xf numFmtId="171" fontId="23" fillId="39" borderId="10" xfId="44" applyNumberFormat="1" applyFont="1" applyFill="1" applyBorder="1" applyAlignment="1" applyProtection="1">
      <alignment horizontal="center" wrapText="1"/>
      <protection locked="0"/>
    </xf>
    <xf numFmtId="43" fontId="0" fillId="0" borderId="0" xfId="0" applyNumberFormat="1" applyAlignment="1">
      <alignment/>
    </xf>
    <xf numFmtId="0" fontId="64" fillId="0" borderId="0" xfId="0" applyFont="1" applyAlignment="1">
      <alignment/>
    </xf>
    <xf numFmtId="0" fontId="65" fillId="0" borderId="0" xfId="0" applyFont="1" applyAlignment="1">
      <alignment/>
    </xf>
    <xf numFmtId="0" fontId="65" fillId="0" borderId="47" xfId="0" applyFont="1" applyBorder="1" applyAlignment="1">
      <alignment wrapText="1"/>
    </xf>
    <xf numFmtId="43" fontId="65" fillId="0" borderId="48" xfId="0" applyNumberFormat="1" applyFont="1" applyBorder="1" applyAlignment="1">
      <alignment wrapText="1"/>
    </xf>
    <xf numFmtId="43" fontId="65" fillId="0" borderId="49" xfId="0" applyNumberFormat="1" applyFont="1" applyBorder="1" applyAlignment="1">
      <alignment wrapText="1"/>
    </xf>
    <xf numFmtId="0" fontId="65" fillId="0" borderId="50" xfId="0" applyFont="1" applyBorder="1" applyAlignment="1">
      <alignment wrapText="1"/>
    </xf>
    <xf numFmtId="43" fontId="65" fillId="0" borderId="51" xfId="0" applyNumberFormat="1" applyFont="1" applyBorder="1" applyAlignment="1">
      <alignment wrapText="1"/>
    </xf>
    <xf numFmtId="43" fontId="65" fillId="0" borderId="52" xfId="0" applyNumberFormat="1" applyFont="1" applyBorder="1" applyAlignment="1">
      <alignment wrapText="1"/>
    </xf>
    <xf numFmtId="0" fontId="64" fillId="0" borderId="53" xfId="0" applyFont="1" applyBorder="1" applyAlignment="1">
      <alignment/>
    </xf>
    <xf numFmtId="43" fontId="64" fillId="0" borderId="54" xfId="0" applyNumberFormat="1" applyFont="1" applyBorder="1" applyAlignment="1">
      <alignment wrapText="1"/>
    </xf>
    <xf numFmtId="43" fontId="64" fillId="0" borderId="55" xfId="0" applyNumberFormat="1" applyFont="1" applyBorder="1" applyAlignment="1">
      <alignment wrapText="1"/>
    </xf>
    <xf numFmtId="43" fontId="65" fillId="0" borderId="0" xfId="0" applyNumberFormat="1" applyFont="1" applyAlignment="1">
      <alignment/>
    </xf>
    <xf numFmtId="0" fontId="65" fillId="39" borderId="56" xfId="0" applyFont="1" applyFill="1" applyBorder="1" applyAlignment="1">
      <alignment/>
    </xf>
    <xf numFmtId="0" fontId="65" fillId="39" borderId="57" xfId="0" applyFont="1" applyFill="1" applyBorder="1" applyAlignment="1">
      <alignment/>
    </xf>
    <xf numFmtId="0" fontId="64" fillId="39" borderId="58" xfId="0" applyFont="1" applyFill="1" applyBorder="1" applyAlignment="1">
      <alignment horizontal="center" wrapText="1"/>
    </xf>
    <xf numFmtId="0" fontId="65" fillId="0" borderId="59" xfId="0" applyFont="1" applyBorder="1" applyAlignment="1">
      <alignment wrapText="1"/>
    </xf>
    <xf numFmtId="43" fontId="65" fillId="0" borderId="59" xfId="0" applyNumberFormat="1" applyFont="1" applyBorder="1" applyAlignment="1">
      <alignment wrapText="1"/>
    </xf>
    <xf numFmtId="0" fontId="65" fillId="0" borderId="60" xfId="0" applyFont="1" applyBorder="1" applyAlignment="1">
      <alignment wrapText="1"/>
    </xf>
    <xf numFmtId="43" fontId="65" fillId="0" borderId="60" xfId="0" applyNumberFormat="1" applyFont="1" applyBorder="1" applyAlignment="1">
      <alignment wrapText="1"/>
    </xf>
    <xf numFmtId="0" fontId="65" fillId="0" borderId="61" xfId="0" applyFont="1" applyBorder="1" applyAlignment="1">
      <alignment/>
    </xf>
    <xf numFmtId="43" fontId="65" fillId="0" borderId="61" xfId="0" applyNumberFormat="1" applyFont="1" applyBorder="1" applyAlignment="1">
      <alignment wrapText="1"/>
    </xf>
    <xf numFmtId="9" fontId="65" fillId="0" borderId="59" xfId="62" applyFont="1" applyBorder="1" applyAlignment="1">
      <alignment wrapText="1"/>
    </xf>
    <xf numFmtId="9" fontId="65" fillId="0" borderId="60" xfId="62" applyFont="1" applyBorder="1" applyAlignment="1">
      <alignment wrapText="1"/>
    </xf>
    <xf numFmtId="0" fontId="65" fillId="0" borderId="60" xfId="0" applyFont="1" applyBorder="1" applyAlignment="1">
      <alignment/>
    </xf>
    <xf numFmtId="43" fontId="65" fillId="0" borderId="62" xfId="0" applyNumberFormat="1" applyFont="1" applyBorder="1" applyAlignment="1">
      <alignment wrapText="1"/>
    </xf>
    <xf numFmtId="0" fontId="65" fillId="0" borderId="63" xfId="0" applyFont="1" applyBorder="1" applyAlignment="1">
      <alignment/>
    </xf>
    <xf numFmtId="43" fontId="65" fillId="0" borderId="64" xfId="0" applyNumberFormat="1" applyFont="1" applyBorder="1" applyAlignment="1">
      <alignment wrapText="1"/>
    </xf>
    <xf numFmtId="0" fontId="65" fillId="0" borderId="65" xfId="0" applyFont="1" applyBorder="1" applyAlignment="1">
      <alignment/>
    </xf>
    <xf numFmtId="0" fontId="65" fillId="0" borderId="66" xfId="0" applyFont="1" applyBorder="1" applyAlignment="1">
      <alignment/>
    </xf>
    <xf numFmtId="43" fontId="65" fillId="0" borderId="67" xfId="0" applyNumberFormat="1" applyFont="1" applyBorder="1" applyAlignment="1">
      <alignment wrapText="1"/>
    </xf>
    <xf numFmtId="43" fontId="65" fillId="0" borderId="68" xfId="0" applyNumberFormat="1" applyFont="1" applyBorder="1" applyAlignment="1">
      <alignment wrapText="1"/>
    </xf>
    <xf numFmtId="43" fontId="65" fillId="0" borderId="69" xfId="0" applyNumberFormat="1" applyFont="1" applyBorder="1" applyAlignment="1">
      <alignment wrapText="1"/>
    </xf>
    <xf numFmtId="43" fontId="65" fillId="0" borderId="70" xfId="0" applyNumberFormat="1" applyFont="1" applyBorder="1" applyAlignment="1">
      <alignment wrapText="1"/>
    </xf>
    <xf numFmtId="0" fontId="65" fillId="0" borderId="71" xfId="0" applyFont="1" applyBorder="1" applyAlignment="1">
      <alignment/>
    </xf>
    <xf numFmtId="0" fontId="64" fillId="0" borderId="66" xfId="0" applyFont="1" applyBorder="1" applyAlignment="1">
      <alignment/>
    </xf>
    <xf numFmtId="0" fontId="64" fillId="0" borderId="63" xfId="0" applyFont="1" applyBorder="1" applyAlignment="1">
      <alignment/>
    </xf>
    <xf numFmtId="0" fontId="64" fillId="0" borderId="72" xfId="0" applyFont="1" applyBorder="1" applyAlignment="1">
      <alignment/>
    </xf>
    <xf numFmtId="0" fontId="64" fillId="0" borderId="71" xfId="0" applyFont="1" applyBorder="1" applyAlignment="1">
      <alignment/>
    </xf>
    <xf numFmtId="43" fontId="64" fillId="0" borderId="73" xfId="0" applyNumberFormat="1" applyFont="1" applyBorder="1" applyAlignment="1">
      <alignment wrapText="1"/>
    </xf>
    <xf numFmtId="43" fontId="64" fillId="0" borderId="74" xfId="0" applyNumberFormat="1" applyFont="1" applyBorder="1" applyAlignment="1">
      <alignment wrapText="1"/>
    </xf>
    <xf numFmtId="0" fontId="64" fillId="4" borderId="75" xfId="0" applyFont="1" applyFill="1" applyBorder="1" applyAlignment="1">
      <alignment horizontal="center" wrapText="1"/>
    </xf>
    <xf numFmtId="0" fontId="64" fillId="4" borderId="76" xfId="0" applyFont="1" applyFill="1" applyBorder="1" applyAlignment="1">
      <alignment horizontal="center" wrapText="1"/>
    </xf>
    <xf numFmtId="0" fontId="66" fillId="0" borderId="0" xfId="0" applyFont="1" applyAlignment="1">
      <alignment/>
    </xf>
    <xf numFmtId="0" fontId="64" fillId="3" borderId="77" xfId="0" applyFont="1" applyFill="1" applyBorder="1" applyAlignment="1">
      <alignment horizontal="center" wrapText="1"/>
    </xf>
    <xf numFmtId="43" fontId="65" fillId="0" borderId="59" xfId="0" applyNumberFormat="1" applyFont="1" applyBorder="1" applyAlignment="1">
      <alignment/>
    </xf>
    <xf numFmtId="43" fontId="65" fillId="0" borderId="60" xfId="0" applyNumberFormat="1" applyFont="1" applyBorder="1" applyAlignment="1">
      <alignment/>
    </xf>
    <xf numFmtId="43" fontId="65" fillId="0" borderId="61" xfId="0" applyNumberFormat="1" applyFont="1" applyBorder="1" applyAlignment="1">
      <alignment/>
    </xf>
    <xf numFmtId="0" fontId="66" fillId="0" borderId="0" xfId="0" applyFont="1" applyBorder="1" applyAlignment="1">
      <alignment/>
    </xf>
    <xf numFmtId="43" fontId="65" fillId="0" borderId="64" xfId="0" applyNumberFormat="1" applyFont="1" applyBorder="1" applyAlignment="1">
      <alignment/>
    </xf>
    <xf numFmtId="43" fontId="65" fillId="0" borderId="78" xfId="0" applyNumberFormat="1" applyFont="1" applyBorder="1" applyAlignment="1">
      <alignment/>
    </xf>
    <xf numFmtId="43" fontId="65" fillId="0" borderId="68" xfId="0" applyNumberFormat="1" applyFont="1" applyBorder="1" applyAlignment="1">
      <alignment/>
    </xf>
    <xf numFmtId="0" fontId="65" fillId="0" borderId="74" xfId="0" applyFont="1" applyBorder="1" applyAlignment="1">
      <alignment horizontal="center"/>
    </xf>
    <xf numFmtId="0" fontId="4" fillId="39" borderId="46" xfId="0" applyFont="1" applyFill="1" applyBorder="1" applyAlignment="1" applyProtection="1">
      <alignment horizontal="center" vertical="center" wrapText="1"/>
      <protection locked="0"/>
    </xf>
    <xf numFmtId="0" fontId="4" fillId="39" borderId="33" xfId="0" applyFont="1" applyFill="1" applyBorder="1" applyAlignment="1" applyProtection="1">
      <alignment horizontal="center" vertical="center" wrapText="1"/>
      <protection locked="0"/>
    </xf>
    <xf numFmtId="0" fontId="4" fillId="39" borderId="44" xfId="0" applyFont="1" applyFill="1" applyBorder="1" applyAlignment="1" applyProtection="1">
      <alignment horizontal="center" vertical="center" wrapText="1"/>
      <protection locked="0"/>
    </xf>
    <xf numFmtId="171" fontId="5" fillId="39" borderId="34" xfId="44" applyNumberFormat="1" applyFont="1" applyFill="1" applyBorder="1" applyAlignment="1" applyProtection="1">
      <alignment horizontal="center" wrapText="1"/>
      <protection locked="0"/>
    </xf>
    <xf numFmtId="171" fontId="5" fillId="39" borderId="38" xfId="44" applyNumberFormat="1" applyFont="1" applyFill="1" applyBorder="1" applyAlignment="1" applyProtection="1">
      <alignment horizontal="center" wrapText="1"/>
      <protection locked="0"/>
    </xf>
    <xf numFmtId="171" fontId="5" fillId="39" borderId="12" xfId="44" applyNumberFormat="1" applyFont="1" applyFill="1" applyBorder="1" applyAlignment="1" applyProtection="1">
      <alignment horizontal="center" wrapText="1"/>
      <protection locked="0"/>
    </xf>
    <xf numFmtId="171" fontId="5" fillId="39" borderId="21" xfId="44" applyNumberFormat="1" applyFont="1" applyFill="1" applyBorder="1" applyAlignment="1" applyProtection="1">
      <alignment horizontal="center" wrapText="1"/>
      <protection locked="0"/>
    </xf>
    <xf numFmtId="171" fontId="5" fillId="39" borderId="10" xfId="44" applyNumberFormat="1" applyFont="1" applyFill="1" applyBorder="1" applyAlignment="1" applyProtection="1">
      <alignment wrapText="1"/>
      <protection locked="0"/>
    </xf>
    <xf numFmtId="0" fontId="16" fillId="8" borderId="10" xfId="0" applyFont="1" applyFill="1" applyBorder="1" applyAlignment="1" applyProtection="1">
      <alignment horizontal="center" wrapText="1"/>
      <protection locked="0"/>
    </xf>
    <xf numFmtId="171" fontId="16" fillId="8" borderId="10" xfId="42" applyNumberFormat="1" applyFont="1" applyFill="1" applyBorder="1" applyAlignment="1" applyProtection="1">
      <alignment horizontal="center" vertical="center" wrapText="1"/>
      <protection locked="0"/>
    </xf>
    <xf numFmtId="171" fontId="16" fillId="39" borderId="10" xfId="42" applyNumberFormat="1" applyFont="1" applyFill="1" applyBorder="1" applyAlignment="1" applyProtection="1">
      <alignment horizontal="center" wrapText="1"/>
      <protection locked="0"/>
    </xf>
    <xf numFmtId="171" fontId="16" fillId="39" borderId="21" xfId="42" applyNumberFormat="1" applyFont="1" applyFill="1" applyBorder="1" applyAlignment="1" applyProtection="1">
      <alignment horizontal="center" wrapText="1"/>
      <protection locked="0"/>
    </xf>
    <xf numFmtId="0" fontId="11" fillId="0" borderId="10" xfId="0" applyFont="1" applyFill="1" applyBorder="1" applyAlignment="1" applyProtection="1">
      <alignment vertical="top" wrapText="1"/>
      <protection/>
    </xf>
    <xf numFmtId="0" fontId="3" fillId="0" borderId="26" xfId="0" applyFont="1" applyFill="1" applyBorder="1" applyAlignment="1" applyProtection="1">
      <alignment horizontal="left" vertical="center" wrapText="1"/>
      <protection/>
    </xf>
    <xf numFmtId="171" fontId="5" fillId="8" borderId="10" xfId="44" applyNumberFormat="1" applyFont="1" applyFill="1" applyBorder="1" applyAlignment="1" applyProtection="1">
      <alignment horizontal="center" wrapText="1"/>
      <protection locked="0"/>
    </xf>
    <xf numFmtId="171" fontId="5" fillId="39" borderId="10" xfId="44" applyNumberFormat="1" applyFont="1" applyFill="1" applyBorder="1" applyAlignment="1" applyProtection="1">
      <alignment horizontal="center" wrapText="1"/>
      <protection locked="0"/>
    </xf>
    <xf numFmtId="0" fontId="3" fillId="0" borderId="26" xfId="0" applyFont="1" applyFill="1" applyBorder="1" applyAlignment="1" applyProtection="1">
      <alignment horizontal="left" vertical="top" wrapText="1"/>
      <protection/>
    </xf>
    <xf numFmtId="0" fontId="5" fillId="39" borderId="33" xfId="0" applyFont="1" applyFill="1" applyBorder="1" applyAlignment="1" applyProtection="1">
      <alignment horizontal="center" vertical="center" wrapText="1"/>
      <protection locked="0"/>
    </xf>
    <xf numFmtId="0" fontId="5" fillId="39" borderId="10" xfId="0" applyFont="1" applyFill="1" applyBorder="1" applyAlignment="1" applyProtection="1">
      <alignment horizontal="center" vertical="center" wrapText="1"/>
      <protection locked="0"/>
    </xf>
    <xf numFmtId="171" fontId="5" fillId="39" borderId="10" xfId="44" applyNumberFormat="1" applyFont="1" applyFill="1" applyBorder="1" applyAlignment="1" applyProtection="1">
      <alignment horizontal="center" vertical="center" wrapText="1"/>
      <protection locked="0"/>
    </xf>
    <xf numFmtId="0" fontId="105" fillId="0" borderId="14" xfId="0" applyFont="1" applyBorder="1" applyAlignment="1">
      <alignment vertical="top" wrapText="1"/>
    </xf>
    <xf numFmtId="0" fontId="105" fillId="34" borderId="11" xfId="0" applyFont="1" applyFill="1" applyBorder="1" applyAlignment="1">
      <alignment vertical="top" wrapText="1"/>
    </xf>
    <xf numFmtId="0" fontId="104" fillId="0" borderId="0" xfId="0" applyFont="1" applyAlignment="1">
      <alignment vertical="top" wrapText="1"/>
    </xf>
    <xf numFmtId="0" fontId="105" fillId="0" borderId="13" xfId="0" applyFont="1" applyBorder="1" applyAlignment="1">
      <alignment vertical="top" wrapText="1"/>
    </xf>
    <xf numFmtId="0" fontId="118" fillId="0" borderId="14" xfId="0" applyFont="1" applyBorder="1" applyAlignment="1">
      <alignment vertical="top" wrapText="1"/>
    </xf>
    <xf numFmtId="0" fontId="118" fillId="0" borderId="0" xfId="0" applyFont="1" applyAlignment="1">
      <alignment vertical="top" wrapText="1"/>
    </xf>
    <xf numFmtId="0" fontId="105" fillId="0" borderId="10" xfId="0" applyFont="1" applyBorder="1" applyAlignment="1">
      <alignment vertical="top" wrapText="1"/>
    </xf>
    <xf numFmtId="0" fontId="118" fillId="0" borderId="10" xfId="0" applyFont="1" applyBorder="1" applyAlignment="1">
      <alignment vertical="top" wrapText="1"/>
    </xf>
    <xf numFmtId="0" fontId="105" fillId="0" borderId="11" xfId="0" applyFont="1" applyBorder="1" applyAlignment="1">
      <alignment vertical="top" wrapText="1"/>
    </xf>
    <xf numFmtId="171" fontId="16" fillId="39" borderId="10" xfId="42" applyNumberFormat="1" applyFont="1" applyFill="1" applyBorder="1" applyAlignment="1" applyProtection="1">
      <alignment horizontal="center" wrapText="1"/>
      <protection locked="0"/>
    </xf>
    <xf numFmtId="171" fontId="16" fillId="39" borderId="21" xfId="42" applyNumberFormat="1" applyFont="1" applyFill="1" applyBorder="1" applyAlignment="1" applyProtection="1">
      <alignment horizontal="center" wrapText="1"/>
      <protection locked="0"/>
    </xf>
    <xf numFmtId="0" fontId="16" fillId="39" borderId="25" xfId="0" applyFont="1" applyFill="1" applyBorder="1" applyAlignment="1" applyProtection="1">
      <alignment horizontal="center" vertical="center" wrapText="1"/>
      <protection locked="0"/>
    </xf>
    <xf numFmtId="0" fontId="16" fillId="39" borderId="46" xfId="0" applyFont="1" applyFill="1" applyBorder="1" applyAlignment="1" applyProtection="1">
      <alignment horizontal="center" vertical="center" wrapText="1"/>
      <protection locked="0"/>
    </xf>
    <xf numFmtId="0" fontId="5" fillId="39" borderId="35" xfId="0" applyFont="1" applyFill="1" applyBorder="1" applyAlignment="1" applyProtection="1">
      <alignment horizontal="center" vertical="center" wrapText="1"/>
      <protection locked="0"/>
    </xf>
    <xf numFmtId="0" fontId="5" fillId="39" borderId="28" xfId="0" applyFont="1" applyFill="1" applyBorder="1" applyAlignment="1" applyProtection="1">
      <alignment horizontal="center" vertical="center" wrapText="1"/>
      <protection locked="0"/>
    </xf>
    <xf numFmtId="0" fontId="5" fillId="39" borderId="35" xfId="0" applyFont="1" applyFill="1" applyBorder="1" applyAlignment="1" applyProtection="1">
      <alignment horizontal="center" wrapText="1"/>
      <protection locked="0"/>
    </xf>
    <xf numFmtId="0" fontId="5" fillId="39" borderId="30" xfId="0" applyFont="1" applyFill="1" applyBorder="1" applyAlignment="1" applyProtection="1">
      <alignment horizontal="center" wrapText="1"/>
      <protection locked="0"/>
    </xf>
    <xf numFmtId="0" fontId="5" fillId="39" borderId="28" xfId="0" applyFont="1" applyFill="1" applyBorder="1" applyAlignment="1" applyProtection="1">
      <alignment horizontal="center" wrapText="1"/>
      <protection locked="0"/>
    </xf>
    <xf numFmtId="171" fontId="5" fillId="39" borderId="34" xfId="44" applyNumberFormat="1" applyFont="1" applyFill="1" applyBorder="1" applyAlignment="1" applyProtection="1">
      <alignment horizontal="center" wrapText="1"/>
      <protection locked="0"/>
    </xf>
    <xf numFmtId="171" fontId="5" fillId="39" borderId="38" xfId="44" applyNumberFormat="1" applyFont="1" applyFill="1" applyBorder="1" applyAlignment="1" applyProtection="1">
      <alignment horizontal="center" wrapText="1"/>
      <protection locked="0"/>
    </xf>
    <xf numFmtId="171" fontId="5" fillId="39" borderId="12" xfId="44" applyNumberFormat="1" applyFont="1" applyFill="1" applyBorder="1" applyAlignment="1" applyProtection="1">
      <alignment horizontal="center" wrapText="1"/>
      <protection locked="0"/>
    </xf>
    <xf numFmtId="171" fontId="5" fillId="39" borderId="35" xfId="44" applyNumberFormat="1" applyFont="1" applyFill="1" applyBorder="1" applyAlignment="1" applyProtection="1">
      <alignment horizontal="center" vertical="center" wrapText="1"/>
      <protection locked="0"/>
    </xf>
    <xf numFmtId="171" fontId="5" fillId="39" borderId="30" xfId="44" applyNumberFormat="1" applyFont="1" applyFill="1" applyBorder="1" applyAlignment="1" applyProtection="1">
      <alignment horizontal="center" vertical="center" wrapText="1"/>
      <protection locked="0"/>
    </xf>
    <xf numFmtId="171" fontId="5" fillId="39" borderId="28" xfId="44" applyNumberFormat="1" applyFont="1" applyFill="1" applyBorder="1" applyAlignment="1" applyProtection="1">
      <alignment horizontal="center" vertical="center" wrapText="1"/>
      <protection locked="0"/>
    </xf>
    <xf numFmtId="171" fontId="5" fillId="39" borderId="10" xfId="44" applyNumberFormat="1" applyFont="1" applyFill="1" applyBorder="1" applyAlignment="1" applyProtection="1">
      <alignment horizontal="center" wrapText="1"/>
      <protection locked="0"/>
    </xf>
    <xf numFmtId="0" fontId="4" fillId="39" borderId="28" xfId="0" applyFont="1" applyFill="1" applyBorder="1" applyAlignment="1" applyProtection="1">
      <alignment horizontal="center" vertical="center" wrapText="1"/>
      <protection locked="0"/>
    </xf>
    <xf numFmtId="0" fontId="5" fillId="39" borderId="30" xfId="0" applyFont="1" applyFill="1" applyBorder="1" applyAlignment="1" applyProtection="1">
      <alignment horizontal="center" vertical="center" wrapText="1"/>
      <protection locked="0"/>
    </xf>
    <xf numFmtId="0" fontId="16" fillId="8" borderId="46" xfId="0" applyFont="1" applyFill="1" applyBorder="1" applyAlignment="1" applyProtection="1">
      <alignment horizontal="center" vertical="center" wrapText="1"/>
      <protection locked="0"/>
    </xf>
    <xf numFmtId="171" fontId="16" fillId="8" borderId="10" xfId="42" applyNumberFormat="1" applyFont="1" applyFill="1" applyBorder="1" applyAlignment="1" applyProtection="1">
      <alignment horizontal="center" wrapText="1"/>
      <protection locked="0"/>
    </xf>
    <xf numFmtId="0" fontId="16" fillId="8" borderId="25" xfId="0" applyFont="1" applyFill="1" applyBorder="1" applyAlignment="1" applyProtection="1">
      <alignment horizontal="center" vertical="center" wrapText="1"/>
      <protection locked="0"/>
    </xf>
    <xf numFmtId="0" fontId="16" fillId="8" borderId="20" xfId="0" applyFont="1" applyFill="1" applyBorder="1" applyAlignment="1" applyProtection="1">
      <alignment horizontal="center" vertical="center" wrapText="1"/>
      <protection locked="0"/>
    </xf>
    <xf numFmtId="0" fontId="16" fillId="8" borderId="18" xfId="0" applyFont="1" applyFill="1" applyBorder="1" applyAlignment="1" applyProtection="1">
      <alignment horizontal="center" wrapText="1"/>
      <protection locked="0"/>
    </xf>
    <xf numFmtId="0" fontId="16" fillId="33" borderId="18"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10" xfId="0" applyFont="1" applyBorder="1" applyAlignment="1">
      <alignment vertical="top" wrapText="1"/>
    </xf>
    <xf numFmtId="0" fontId="118" fillId="0" borderId="10" xfId="0" applyFont="1" applyBorder="1" applyAlignment="1">
      <alignment vertical="center" wrapText="1"/>
    </xf>
    <xf numFmtId="0" fontId="3" fillId="0" borderId="13" xfId="0" applyFont="1" applyFill="1" applyBorder="1" applyAlignment="1" applyProtection="1">
      <alignment horizontal="left" vertical="center" wrapText="1"/>
      <protection/>
    </xf>
    <xf numFmtId="0" fontId="24" fillId="33" borderId="10" xfId="0" applyFont="1" applyFill="1" applyBorder="1" applyAlignment="1" applyProtection="1">
      <alignment horizontal="left" vertical="center" wrapText="1"/>
      <protection/>
    </xf>
    <xf numFmtId="0" fontId="24" fillId="33" borderId="19" xfId="0" applyFont="1" applyFill="1" applyBorder="1" applyAlignment="1" applyProtection="1">
      <alignment vertical="center" wrapText="1"/>
      <protection/>
    </xf>
    <xf numFmtId="0" fontId="24" fillId="33" borderId="10" xfId="0" applyFont="1" applyFill="1" applyBorder="1" applyAlignment="1" applyProtection="1">
      <alignment horizontal="left" vertical="center" wrapText="1"/>
      <protection/>
    </xf>
    <xf numFmtId="0" fontId="11" fillId="33" borderId="19" xfId="0" applyFont="1" applyFill="1" applyBorder="1" applyAlignment="1" applyProtection="1">
      <alignment vertical="center" wrapText="1"/>
      <protection locked="0"/>
    </xf>
    <xf numFmtId="0" fontId="11" fillId="33" borderId="19" xfId="0" applyFont="1" applyFill="1" applyBorder="1" applyAlignment="1" applyProtection="1">
      <alignment wrapText="1"/>
      <protection locked="0"/>
    </xf>
    <xf numFmtId="0" fontId="12" fillId="33" borderId="18" xfId="0" applyFont="1" applyFill="1" applyBorder="1" applyAlignment="1">
      <alignment horizontal="center" vertical="center"/>
    </xf>
    <xf numFmtId="171" fontId="16" fillId="34" borderId="19" xfId="0" applyNumberFormat="1" applyFont="1" applyFill="1" applyBorder="1" applyAlignment="1" applyProtection="1">
      <alignment horizontal="right"/>
      <protection locked="0"/>
    </xf>
    <xf numFmtId="171" fontId="12" fillId="34" borderId="19" xfId="44" applyNumberFormat="1" applyFont="1" applyFill="1" applyBorder="1" applyAlignment="1" applyProtection="1">
      <alignment horizontal="right" vertical="center"/>
      <protection locked="0"/>
    </xf>
    <xf numFmtId="171" fontId="16" fillId="34" borderId="19" xfId="42" applyNumberFormat="1" applyFont="1" applyFill="1" applyBorder="1" applyAlignment="1" applyProtection="1">
      <alignment horizontal="right" vertical="center"/>
      <protection locked="0"/>
    </xf>
    <xf numFmtId="0" fontId="11" fillId="9" borderId="10" xfId="0" applyFont="1" applyFill="1" applyBorder="1" applyAlignment="1" applyProtection="1">
      <alignment vertical="center" wrapText="1"/>
      <protection locked="0"/>
    </xf>
    <xf numFmtId="0" fontId="119" fillId="0" borderId="0" xfId="0" applyFont="1" applyAlignment="1">
      <alignment vertical="center" wrapText="1"/>
    </xf>
    <xf numFmtId="0" fontId="120" fillId="0" borderId="0" xfId="0" applyFont="1" applyAlignment="1">
      <alignment/>
    </xf>
    <xf numFmtId="0" fontId="121" fillId="0" borderId="0" xfId="0" applyFont="1" applyAlignment="1">
      <alignment/>
    </xf>
    <xf numFmtId="0" fontId="122" fillId="0" borderId="0" xfId="0" applyFont="1" applyAlignment="1">
      <alignment vertical="center" wrapText="1"/>
    </xf>
    <xf numFmtId="0" fontId="119" fillId="0" borderId="0" xfId="0" applyFont="1" applyAlignment="1">
      <alignment vertical="center" wrapText="1"/>
    </xf>
    <xf numFmtId="0" fontId="123" fillId="0" borderId="0" xfId="0" applyFont="1" applyAlignment="1">
      <alignment horizontal="justify" vertical="center" wrapText="1"/>
    </xf>
    <xf numFmtId="0" fontId="0" fillId="0" borderId="0" xfId="0" applyAlignment="1">
      <alignment/>
    </xf>
    <xf numFmtId="0" fontId="124" fillId="0" borderId="0" xfId="54" applyFont="1" applyAlignment="1" applyProtection="1">
      <alignment vertical="center" wrapText="1"/>
      <protection/>
    </xf>
    <xf numFmtId="0" fontId="125" fillId="0" borderId="0" xfId="0" applyFont="1" applyAlignment="1">
      <alignment vertical="center" wrapText="1"/>
    </xf>
    <xf numFmtId="0" fontId="126" fillId="0" borderId="0" xfId="54" applyFont="1" applyAlignment="1" applyProtection="1">
      <alignment horizontal="justify" vertical="center" wrapText="1"/>
      <protection/>
    </xf>
    <xf numFmtId="0" fontId="127" fillId="0" borderId="0" xfId="0" applyFont="1" applyAlignment="1">
      <alignment/>
    </xf>
    <xf numFmtId="0" fontId="64" fillId="39" borderId="79" xfId="0" applyFont="1" applyFill="1" applyBorder="1" applyAlignment="1">
      <alignment horizontal="center"/>
    </xf>
    <xf numFmtId="0" fontId="64" fillId="39" borderId="80" xfId="0" applyFont="1" applyFill="1" applyBorder="1" applyAlignment="1">
      <alignment horizontal="center"/>
    </xf>
    <xf numFmtId="0" fontId="64" fillId="39" borderId="81" xfId="0" applyFont="1" applyFill="1" applyBorder="1" applyAlignment="1">
      <alignment horizontal="center"/>
    </xf>
    <xf numFmtId="0" fontId="65" fillId="39" borderId="82" xfId="0" applyFont="1" applyFill="1" applyBorder="1" applyAlignment="1">
      <alignment horizontal="center"/>
    </xf>
    <xf numFmtId="0" fontId="65" fillId="39" borderId="83" xfId="0" applyFont="1" applyFill="1" applyBorder="1" applyAlignment="1">
      <alignment horizontal="center"/>
    </xf>
    <xf numFmtId="0" fontId="64" fillId="4" borderId="84" xfId="0" applyFont="1" applyFill="1" applyBorder="1" applyAlignment="1">
      <alignment horizontal="center"/>
    </xf>
    <xf numFmtId="0" fontId="64" fillId="4" borderId="85" xfId="0" applyFont="1" applyFill="1" applyBorder="1" applyAlignment="1">
      <alignment horizontal="center"/>
    </xf>
    <xf numFmtId="0" fontId="64" fillId="4" borderId="86" xfId="0" applyFont="1" applyFill="1" applyBorder="1" applyAlignment="1">
      <alignment horizontal="center" wrapText="1"/>
    </xf>
    <xf numFmtId="0" fontId="64" fillId="4" borderId="87" xfId="0" applyFont="1" applyFill="1" applyBorder="1" applyAlignment="1">
      <alignment horizontal="center" wrapText="1"/>
    </xf>
    <xf numFmtId="0" fontId="64" fillId="4" borderId="71" xfId="0" applyFont="1" applyFill="1" applyBorder="1" applyAlignment="1">
      <alignment horizontal="center"/>
    </xf>
    <xf numFmtId="0" fontId="64" fillId="4" borderId="73" xfId="0" applyFont="1" applyFill="1" applyBorder="1" applyAlignment="1">
      <alignment horizontal="center"/>
    </xf>
    <xf numFmtId="0" fontId="64" fillId="4" borderId="74" xfId="0" applyFont="1" applyFill="1" applyBorder="1" applyAlignment="1">
      <alignment horizontal="center"/>
    </xf>
    <xf numFmtId="0" fontId="64" fillId="3" borderId="88" xfId="0" applyFont="1" applyFill="1" applyBorder="1" applyAlignment="1">
      <alignment horizontal="center"/>
    </xf>
    <xf numFmtId="0" fontId="64" fillId="3" borderId="89" xfId="0" applyFont="1" applyFill="1" applyBorder="1" applyAlignment="1">
      <alignment horizontal="center"/>
    </xf>
    <xf numFmtId="0" fontId="64" fillId="3" borderId="90" xfId="0" applyFont="1" applyFill="1" applyBorder="1" applyAlignment="1">
      <alignment horizontal="center" wrapText="1"/>
    </xf>
    <xf numFmtId="0" fontId="64" fillId="3" borderId="91" xfId="0" applyFont="1" applyFill="1" applyBorder="1" applyAlignment="1">
      <alignment horizontal="center" wrapText="1"/>
    </xf>
    <xf numFmtId="0" fontId="64" fillId="3" borderId="92" xfId="0" applyFont="1" applyFill="1" applyBorder="1" applyAlignment="1">
      <alignment horizontal="center"/>
    </xf>
    <xf numFmtId="0" fontId="64" fillId="3" borderId="93" xfId="0" applyFont="1" applyFill="1" applyBorder="1" applyAlignment="1">
      <alignment horizontal="center"/>
    </xf>
    <xf numFmtId="0" fontId="64" fillId="3" borderId="94" xfId="0" applyFont="1" applyFill="1" applyBorder="1" applyAlignment="1">
      <alignment horizontal="center"/>
    </xf>
    <xf numFmtId="0" fontId="24" fillId="33" borderId="10" xfId="0" applyFont="1" applyFill="1" applyBorder="1" applyAlignment="1" applyProtection="1">
      <alignment vertical="center" wrapText="1"/>
      <protection/>
    </xf>
    <xf numFmtId="0" fontId="24" fillId="33" borderId="10" xfId="0" applyFont="1" applyFill="1" applyBorder="1" applyAlignment="1" applyProtection="1">
      <alignment horizontal="center" vertical="center" wrapText="1"/>
      <protection/>
    </xf>
    <xf numFmtId="0" fontId="15" fillId="40" borderId="34" xfId="0" applyFont="1" applyFill="1" applyBorder="1" applyAlignment="1" applyProtection="1">
      <alignment horizontal="left" vertical="center" wrapText="1"/>
      <protection/>
    </xf>
    <xf numFmtId="0" fontId="15" fillId="40" borderId="38" xfId="0" applyFont="1" applyFill="1" applyBorder="1" applyAlignment="1" applyProtection="1">
      <alignment horizontal="left" vertical="center" wrapText="1"/>
      <protection/>
    </xf>
    <xf numFmtId="0" fontId="15" fillId="40" borderId="12" xfId="0" applyFont="1" applyFill="1" applyBorder="1" applyAlignment="1" applyProtection="1">
      <alignment horizontal="left" vertical="center" wrapText="1"/>
      <protection/>
    </xf>
    <xf numFmtId="0" fontId="24" fillId="33" borderId="19" xfId="0" applyFont="1" applyFill="1" applyBorder="1" applyAlignment="1" applyProtection="1">
      <alignment horizontal="center" vertical="center" wrapText="1"/>
      <protection/>
    </xf>
    <xf numFmtId="0" fontId="24" fillId="33" borderId="13" xfId="0" applyFont="1" applyFill="1" applyBorder="1" applyAlignment="1" applyProtection="1">
      <alignment horizontal="center" vertical="center" wrapText="1"/>
      <protection/>
    </xf>
    <xf numFmtId="0" fontId="24" fillId="33" borderId="10" xfId="0" applyFont="1" applyFill="1" applyBorder="1" applyAlignment="1" applyProtection="1">
      <alignment horizontal="left" vertical="center" wrapText="1"/>
      <protection/>
    </xf>
    <xf numFmtId="0" fontId="15" fillId="39" borderId="34" xfId="0" applyFont="1" applyFill="1" applyBorder="1" applyAlignment="1" applyProtection="1">
      <alignment horizontal="left" vertical="center" wrapText="1"/>
      <protection/>
    </xf>
    <xf numFmtId="0" fontId="15" fillId="39" borderId="38" xfId="0" applyFont="1" applyFill="1" applyBorder="1" applyAlignment="1" applyProtection="1">
      <alignment horizontal="left" vertical="center" wrapText="1"/>
      <protection/>
    </xf>
    <xf numFmtId="0" fontId="15" fillId="39" borderId="12" xfId="0" applyFont="1" applyFill="1" applyBorder="1" applyAlignment="1" applyProtection="1">
      <alignment horizontal="left" vertical="center" wrapText="1"/>
      <protection/>
    </xf>
    <xf numFmtId="0" fontId="24" fillId="33" borderId="19" xfId="0" applyFont="1" applyFill="1" applyBorder="1" applyAlignment="1" applyProtection="1">
      <alignment vertical="center" wrapText="1"/>
      <protection/>
    </xf>
    <xf numFmtId="0" fontId="24" fillId="33" borderId="31" xfId="0" applyFont="1" applyFill="1" applyBorder="1" applyAlignment="1" applyProtection="1">
      <alignment vertical="center" wrapText="1"/>
      <protection/>
    </xf>
    <xf numFmtId="0" fontId="24" fillId="33" borderId="13" xfId="0" applyFont="1" applyFill="1" applyBorder="1" applyAlignment="1" applyProtection="1">
      <alignment vertical="center" wrapText="1"/>
      <protection/>
    </xf>
    <xf numFmtId="0" fontId="15" fillId="39" borderId="34" xfId="0" applyFont="1" applyFill="1" applyBorder="1" applyAlignment="1" applyProtection="1">
      <alignment horizontal="center" vertical="center" wrapText="1"/>
      <protection/>
    </xf>
    <xf numFmtId="0" fontId="15" fillId="39" borderId="38" xfId="0" applyFont="1" applyFill="1" applyBorder="1" applyAlignment="1" applyProtection="1">
      <alignment horizontal="center" vertical="center" wrapText="1"/>
      <protection/>
    </xf>
    <xf numFmtId="0" fontId="15" fillId="39" borderId="12" xfId="0" applyFont="1" applyFill="1" applyBorder="1" applyAlignment="1" applyProtection="1">
      <alignment horizontal="center" vertical="center" wrapText="1"/>
      <protection/>
    </xf>
    <xf numFmtId="0" fontId="10" fillId="33" borderId="30" xfId="0" applyFont="1" applyFill="1" applyBorder="1" applyAlignment="1">
      <alignment horizontal="center" wrapText="1"/>
    </xf>
    <xf numFmtId="43" fontId="23" fillId="39" borderId="10" xfId="42" applyFont="1" applyFill="1" applyBorder="1" applyAlignment="1" applyProtection="1">
      <alignment horizontal="center" vertical="center" wrapText="1"/>
      <protection locked="0"/>
    </xf>
    <xf numFmtId="0" fontId="15" fillId="33" borderId="10" xfId="58" applyFont="1" applyFill="1" applyBorder="1" applyAlignment="1" applyProtection="1">
      <alignment vertical="center" wrapText="1"/>
      <protection/>
    </xf>
    <xf numFmtId="0" fontId="24" fillId="33" borderId="19" xfId="0" applyFont="1" applyFill="1" applyBorder="1" applyAlignment="1" applyProtection="1">
      <alignment horizontal="left" vertical="center" wrapText="1"/>
      <protection/>
    </xf>
    <xf numFmtId="0" fontId="24" fillId="33" borderId="13" xfId="0" applyFont="1" applyFill="1" applyBorder="1" applyAlignment="1" applyProtection="1">
      <alignment horizontal="left" vertical="center" wrapText="1"/>
      <protection/>
    </xf>
    <xf numFmtId="0" fontId="24" fillId="33" borderId="31" xfId="0" applyFont="1" applyFill="1" applyBorder="1" applyAlignment="1" applyProtection="1">
      <alignment horizontal="left" vertical="center" wrapText="1"/>
      <protection/>
    </xf>
    <xf numFmtId="0" fontId="109" fillId="40" borderId="34" xfId="0" applyFont="1" applyFill="1" applyBorder="1" applyAlignment="1" applyProtection="1">
      <alignment horizontal="left" vertical="center" wrapText="1"/>
      <protection/>
    </xf>
    <xf numFmtId="0" fontId="109" fillId="40" borderId="38" xfId="0" applyFont="1" applyFill="1" applyBorder="1" applyAlignment="1" applyProtection="1">
      <alignment horizontal="left" vertical="center" wrapText="1"/>
      <protection/>
    </xf>
    <xf numFmtId="0" fontId="109" fillId="40" borderId="12" xfId="0" applyFont="1" applyFill="1" applyBorder="1" applyAlignment="1" applyProtection="1">
      <alignment horizontal="left" vertical="center" wrapText="1"/>
      <protection/>
    </xf>
    <xf numFmtId="0" fontId="24" fillId="33" borderId="31" xfId="0" applyFont="1" applyFill="1" applyBorder="1" applyAlignment="1" applyProtection="1">
      <alignment horizontal="center" vertical="center" wrapText="1"/>
      <protection/>
    </xf>
    <xf numFmtId="0" fontId="23" fillId="39" borderId="34" xfId="0" applyFont="1" applyFill="1" applyBorder="1" applyAlignment="1" applyProtection="1">
      <alignment horizontal="center" vertical="center" wrapText="1"/>
      <protection locked="0"/>
    </xf>
    <xf numFmtId="0" fontId="23" fillId="39" borderId="38" xfId="0" applyFont="1" applyFill="1" applyBorder="1" applyAlignment="1" applyProtection="1">
      <alignment horizontal="center" vertical="center" wrapText="1"/>
      <protection locked="0"/>
    </xf>
    <xf numFmtId="0" fontId="23" fillId="39" borderId="12" xfId="0" applyFont="1" applyFill="1" applyBorder="1" applyAlignment="1" applyProtection="1">
      <alignment horizontal="center" vertical="center" wrapText="1"/>
      <protection locked="0"/>
    </xf>
    <xf numFmtId="171" fontId="23" fillId="39" borderId="20" xfId="44" applyNumberFormat="1" applyFont="1" applyFill="1" applyBorder="1" applyAlignment="1" applyProtection="1">
      <alignment horizontal="center" vertical="center" wrapText="1"/>
      <protection locked="0"/>
    </xf>
    <xf numFmtId="171" fontId="23" fillId="39" borderId="33" xfId="44" applyNumberFormat="1" applyFont="1" applyFill="1" applyBorder="1" applyAlignment="1" applyProtection="1">
      <alignment horizontal="center" vertical="center" wrapText="1"/>
      <protection locked="0"/>
    </xf>
    <xf numFmtId="171" fontId="23" fillId="39" borderId="18" xfId="44" applyNumberFormat="1" applyFont="1" applyFill="1" applyBorder="1" applyAlignment="1" applyProtection="1">
      <alignment horizontal="center" vertical="center" wrapText="1"/>
      <protection locked="0"/>
    </xf>
    <xf numFmtId="171" fontId="23" fillId="39" borderId="42" xfId="44" applyNumberFormat="1" applyFont="1" applyFill="1" applyBorder="1" applyAlignment="1" applyProtection="1">
      <alignment horizontal="center" vertical="center" wrapText="1"/>
      <protection locked="0"/>
    </xf>
    <xf numFmtId="171" fontId="23" fillId="39" borderId="0" xfId="44" applyNumberFormat="1" applyFont="1" applyFill="1" applyBorder="1" applyAlignment="1" applyProtection="1">
      <alignment horizontal="center" vertical="center" wrapText="1"/>
      <protection locked="0"/>
    </xf>
    <xf numFmtId="171" fontId="23" fillId="39" borderId="44" xfId="44" applyNumberFormat="1" applyFont="1" applyFill="1" applyBorder="1" applyAlignment="1" applyProtection="1">
      <alignment horizontal="center" vertical="center" wrapText="1"/>
      <protection locked="0"/>
    </xf>
    <xf numFmtId="171" fontId="23" fillId="39" borderId="35" xfId="44" applyNumberFormat="1" applyFont="1" applyFill="1" applyBorder="1" applyAlignment="1" applyProtection="1">
      <alignment horizontal="center" vertical="center" wrapText="1"/>
      <protection locked="0"/>
    </xf>
    <xf numFmtId="171" fontId="23" fillId="39" borderId="30" xfId="44" applyNumberFormat="1" applyFont="1" applyFill="1" applyBorder="1" applyAlignment="1" applyProtection="1">
      <alignment horizontal="center" vertical="center" wrapText="1"/>
      <protection locked="0"/>
    </xf>
    <xf numFmtId="171" fontId="23" fillId="39" borderId="28" xfId="44" applyNumberFormat="1" applyFont="1" applyFill="1" applyBorder="1" applyAlignment="1" applyProtection="1">
      <alignment horizontal="center" vertical="center" wrapText="1"/>
      <protection locked="0"/>
    </xf>
    <xf numFmtId="0" fontId="23" fillId="39" borderId="38" xfId="0" applyFont="1" applyFill="1" applyBorder="1" applyAlignment="1" applyProtection="1">
      <alignment horizontal="left" vertical="center" wrapText="1"/>
      <protection locked="0"/>
    </xf>
    <xf numFmtId="0" fontId="23" fillId="39" borderId="12" xfId="0" applyFont="1" applyFill="1" applyBorder="1" applyAlignment="1" applyProtection="1">
      <alignment horizontal="left" vertical="center" wrapText="1"/>
      <protection locked="0"/>
    </xf>
    <xf numFmtId="171" fontId="23" fillId="39" borderId="19" xfId="44" applyNumberFormat="1" applyFont="1" applyFill="1" applyBorder="1" applyAlignment="1" applyProtection="1">
      <alignment horizontal="center" vertical="center" wrapText="1"/>
      <protection locked="0"/>
    </xf>
    <xf numFmtId="171" fontId="23" fillId="39" borderId="13" xfId="44" applyNumberFormat="1" applyFont="1" applyFill="1" applyBorder="1" applyAlignment="1" applyProtection="1">
      <alignment horizontal="center" vertical="center" wrapText="1"/>
      <protection locked="0"/>
    </xf>
    <xf numFmtId="171" fontId="23" fillId="39" borderId="10" xfId="44" applyNumberFormat="1" applyFont="1" applyFill="1" applyBorder="1" applyAlignment="1" applyProtection="1">
      <alignment horizontal="center" vertical="center" wrapText="1"/>
      <protection locked="0"/>
    </xf>
    <xf numFmtId="0" fontId="23" fillId="39" borderId="10" xfId="0" applyFont="1" applyFill="1" applyBorder="1" applyAlignment="1" applyProtection="1">
      <alignment horizontal="center" vertical="center" wrapText="1"/>
      <protection locked="0"/>
    </xf>
    <xf numFmtId="0" fontId="23" fillId="39" borderId="19" xfId="0" applyFont="1" applyFill="1" applyBorder="1" applyAlignment="1" applyProtection="1">
      <alignment horizontal="center" vertical="center" wrapText="1"/>
      <protection locked="0"/>
    </xf>
    <xf numFmtId="0" fontId="23" fillId="39" borderId="31" xfId="0" applyFont="1" applyFill="1" applyBorder="1" applyAlignment="1" applyProtection="1">
      <alignment horizontal="center" vertical="center" wrapText="1"/>
      <protection locked="0"/>
    </xf>
    <xf numFmtId="0" fontId="23" fillId="39" borderId="13" xfId="0" applyFont="1" applyFill="1" applyBorder="1" applyAlignment="1" applyProtection="1">
      <alignment horizontal="center" vertical="center" wrapText="1"/>
      <protection locked="0"/>
    </xf>
    <xf numFmtId="0" fontId="24" fillId="33" borderId="95" xfId="0" applyFont="1" applyFill="1" applyBorder="1" applyAlignment="1" applyProtection="1">
      <alignment horizontal="center" vertical="center" wrapText="1"/>
      <protection/>
    </xf>
    <xf numFmtId="0" fontId="24" fillId="33" borderId="15" xfId="0" applyFont="1" applyFill="1" applyBorder="1" applyAlignment="1" applyProtection="1">
      <alignment horizontal="center" vertical="center" wrapText="1"/>
      <protection/>
    </xf>
    <xf numFmtId="0" fontId="24" fillId="33" borderId="17" xfId="0" applyFont="1" applyFill="1" applyBorder="1" applyAlignment="1" applyProtection="1">
      <alignment horizontal="center" vertical="center" wrapText="1"/>
      <protection/>
    </xf>
    <xf numFmtId="2" fontId="24" fillId="33" borderId="19" xfId="0" applyNumberFormat="1" applyFont="1" applyFill="1" applyBorder="1" applyAlignment="1" applyProtection="1">
      <alignment horizontal="center" vertical="center" wrapText="1"/>
      <protection/>
    </xf>
    <xf numFmtId="2" fontId="24" fillId="33" borderId="31" xfId="0" applyNumberFormat="1" applyFont="1" applyFill="1" applyBorder="1" applyAlignment="1" applyProtection="1">
      <alignment horizontal="center" vertical="center" wrapText="1"/>
      <protection/>
    </xf>
    <xf numFmtId="0" fontId="24" fillId="33" borderId="20" xfId="0" applyFont="1" applyFill="1" applyBorder="1" applyAlignment="1" applyProtection="1">
      <alignment horizontal="center" vertical="center" wrapText="1"/>
      <protection/>
    </xf>
    <xf numFmtId="0" fontId="24" fillId="33" borderId="42" xfId="0" applyFont="1" applyFill="1" applyBorder="1" applyAlignment="1" applyProtection="1">
      <alignment horizontal="center" vertical="center" wrapText="1"/>
      <protection/>
    </xf>
    <xf numFmtId="0" fontId="15" fillId="40" borderId="34" xfId="0" applyFont="1" applyFill="1" applyBorder="1" applyAlignment="1" applyProtection="1">
      <alignment horizontal="left" vertical="center" wrapText="1"/>
      <protection/>
    </xf>
    <xf numFmtId="0" fontId="15" fillId="40" borderId="38" xfId="0" applyFont="1" applyFill="1" applyBorder="1" applyAlignment="1" applyProtection="1">
      <alignment horizontal="left" vertical="center" wrapText="1"/>
      <protection/>
    </xf>
    <xf numFmtId="0" fontId="15" fillId="40" borderId="12" xfId="0" applyFont="1" applyFill="1" applyBorder="1" applyAlignment="1" applyProtection="1">
      <alignment horizontal="left" vertical="center" wrapText="1"/>
      <protection/>
    </xf>
    <xf numFmtId="0" fontId="115" fillId="39" borderId="34" xfId="0" applyFont="1" applyFill="1" applyBorder="1" applyAlignment="1" applyProtection="1">
      <alignment vertical="center"/>
      <protection locked="0"/>
    </xf>
    <xf numFmtId="0" fontId="115" fillId="39" borderId="38" xfId="0" applyFont="1" applyFill="1" applyBorder="1" applyAlignment="1" applyProtection="1">
      <alignment vertical="center"/>
      <protection locked="0"/>
    </xf>
    <xf numFmtId="0" fontId="115" fillId="39" borderId="12" xfId="0" applyFont="1" applyFill="1" applyBorder="1" applyAlignment="1" applyProtection="1">
      <alignment vertical="center"/>
      <protection locked="0"/>
    </xf>
    <xf numFmtId="0" fontId="116" fillId="40" borderId="34" xfId="0" applyFont="1" applyFill="1" applyBorder="1" applyAlignment="1" applyProtection="1">
      <alignment horizontal="center" vertical="center" wrapText="1"/>
      <protection/>
    </xf>
    <xf numFmtId="0" fontId="116" fillId="40" borderId="38" xfId="0" applyFont="1" applyFill="1" applyBorder="1" applyAlignment="1" applyProtection="1">
      <alignment horizontal="center" vertical="center" wrapText="1"/>
      <protection/>
    </xf>
    <xf numFmtId="0" fontId="116" fillId="40" borderId="12" xfId="0" applyFont="1" applyFill="1" applyBorder="1" applyAlignment="1" applyProtection="1">
      <alignment horizontal="center" vertical="center" wrapText="1"/>
      <protection/>
    </xf>
    <xf numFmtId="0" fontId="15" fillId="39" borderId="34" xfId="0" applyFont="1" applyFill="1" applyBorder="1" applyAlignment="1" applyProtection="1">
      <alignment horizontal="left" vertical="center" wrapText="1"/>
      <protection/>
    </xf>
    <xf numFmtId="0" fontId="15" fillId="39" borderId="38" xfId="0" applyFont="1" applyFill="1" applyBorder="1" applyAlignment="1" applyProtection="1">
      <alignment horizontal="left" vertical="center" wrapText="1"/>
      <protection/>
    </xf>
    <xf numFmtId="0" fontId="15" fillId="39" borderId="12" xfId="0" applyFont="1" applyFill="1" applyBorder="1" applyAlignment="1" applyProtection="1">
      <alignment horizontal="left" vertical="center" wrapText="1"/>
      <protection/>
    </xf>
    <xf numFmtId="0" fontId="11" fillId="0" borderId="19" xfId="0" applyFont="1" applyFill="1" applyBorder="1" applyAlignment="1" applyProtection="1">
      <alignment horizontal="center" vertical="center" wrapText="1"/>
      <protection/>
    </xf>
    <xf numFmtId="0" fontId="11" fillId="0" borderId="31"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top" wrapText="1"/>
      <protection/>
    </xf>
    <xf numFmtId="0" fontId="11" fillId="0" borderId="19" xfId="0" applyFont="1" applyFill="1" applyBorder="1" applyAlignment="1" applyProtection="1">
      <alignment horizontal="left" vertical="top" wrapText="1"/>
      <protection/>
    </xf>
    <xf numFmtId="0" fontId="11" fillId="0" borderId="31" xfId="0" applyFont="1" applyFill="1" applyBorder="1" applyAlignment="1" applyProtection="1">
      <alignment horizontal="left" vertical="top" wrapText="1"/>
      <protection/>
    </xf>
    <xf numFmtId="0" fontId="11" fillId="0" borderId="13" xfId="0" applyFont="1" applyFill="1" applyBorder="1" applyAlignment="1" applyProtection="1">
      <alignment horizontal="left" vertical="top" wrapText="1"/>
      <protection/>
    </xf>
    <xf numFmtId="0" fontId="16" fillId="8" borderId="34" xfId="0" applyFont="1" applyFill="1" applyBorder="1" applyAlignment="1" applyProtection="1">
      <alignment horizontal="left" vertical="top" wrapText="1"/>
      <protection locked="0"/>
    </xf>
    <xf numFmtId="0" fontId="16" fillId="8" borderId="38" xfId="0" applyFont="1" applyFill="1" applyBorder="1" applyAlignment="1" applyProtection="1">
      <alignment horizontal="left" vertical="top" wrapText="1"/>
      <protection locked="0"/>
    </xf>
    <xf numFmtId="0" fontId="16" fillId="8" borderId="12" xfId="0" applyFont="1" applyFill="1" applyBorder="1" applyAlignment="1" applyProtection="1">
      <alignment horizontal="left" vertical="top" wrapText="1"/>
      <protection locked="0"/>
    </xf>
    <xf numFmtId="0" fontId="11" fillId="0" borderId="10" xfId="0" applyFont="1" applyFill="1" applyBorder="1" applyAlignment="1" applyProtection="1">
      <alignment vertical="top" wrapText="1"/>
      <protection/>
    </xf>
    <xf numFmtId="0" fontId="15" fillId="33" borderId="24" xfId="0" applyFont="1" applyFill="1" applyBorder="1" applyAlignment="1">
      <alignment horizontal="center" wrapText="1"/>
    </xf>
    <xf numFmtId="0" fontId="16" fillId="39" borderId="96" xfId="0" applyFont="1" applyFill="1" applyBorder="1" applyAlignment="1" applyProtection="1">
      <alignment horizontal="center" vertical="center" wrapText="1"/>
      <protection locked="0"/>
    </xf>
    <xf numFmtId="0" fontId="16" fillId="39" borderId="46" xfId="0" applyFont="1" applyFill="1" applyBorder="1" applyAlignment="1" applyProtection="1">
      <alignment horizontal="center" vertical="center" wrapText="1"/>
      <protection locked="0"/>
    </xf>
    <xf numFmtId="0" fontId="16" fillId="39" borderId="27" xfId="0" applyFont="1" applyFill="1" applyBorder="1" applyAlignment="1" applyProtection="1">
      <alignment horizontal="center" vertical="center" wrapText="1"/>
      <protection locked="0"/>
    </xf>
    <xf numFmtId="0" fontId="107" fillId="39" borderId="97" xfId="0" applyFont="1" applyFill="1" applyBorder="1" applyAlignment="1">
      <alignment horizontal="center" vertical="center" wrapText="1"/>
    </xf>
    <xf numFmtId="0" fontId="107" fillId="39" borderId="46" xfId="0" applyFont="1" applyFill="1" applyBorder="1" applyAlignment="1">
      <alignment horizontal="center" vertical="center" wrapText="1"/>
    </xf>
    <xf numFmtId="0" fontId="107" fillId="39" borderId="27" xfId="0" applyFont="1" applyFill="1" applyBorder="1" applyAlignment="1">
      <alignment horizontal="center" vertical="center" wrapText="1"/>
    </xf>
    <xf numFmtId="0" fontId="11" fillId="0" borderId="19" xfId="0" applyFont="1" applyFill="1" applyBorder="1" applyAlignment="1" applyProtection="1">
      <alignment horizontal="center" vertical="top" wrapText="1"/>
      <protection/>
    </xf>
    <xf numFmtId="0" fontId="11" fillId="0" borderId="13" xfId="0" applyFont="1" applyFill="1" applyBorder="1" applyAlignment="1" applyProtection="1">
      <alignment horizontal="center" vertical="top" wrapText="1"/>
      <protection/>
    </xf>
    <xf numFmtId="0" fontId="11" fillId="0" borderId="10" xfId="0" applyFont="1" applyFill="1" applyBorder="1" applyAlignment="1" applyProtection="1">
      <alignment horizontal="left" vertical="top" wrapText="1"/>
      <protection/>
    </xf>
    <xf numFmtId="0" fontId="16" fillId="33" borderId="10" xfId="0" applyFont="1" applyFill="1" applyBorder="1" applyAlignment="1" applyProtection="1">
      <alignment horizontal="center" vertical="center" wrapText="1"/>
      <protection locked="0"/>
    </xf>
    <xf numFmtId="171" fontId="16" fillId="39" borderId="34" xfId="42" applyNumberFormat="1" applyFont="1" applyFill="1" applyBorder="1" applyAlignment="1" applyProtection="1">
      <alignment horizontal="center" wrapText="1"/>
      <protection locked="0"/>
    </xf>
    <xf numFmtId="171" fontId="16" fillId="39" borderId="38" xfId="42" applyNumberFormat="1" applyFont="1" applyFill="1" applyBorder="1" applyAlignment="1" applyProtection="1">
      <alignment horizontal="center" wrapText="1"/>
      <protection locked="0"/>
    </xf>
    <xf numFmtId="171" fontId="16" fillId="39" borderId="12" xfId="42" applyNumberFormat="1" applyFont="1" applyFill="1" applyBorder="1" applyAlignment="1" applyProtection="1">
      <alignment horizontal="center" wrapText="1"/>
      <protection locked="0"/>
    </xf>
    <xf numFmtId="0" fontId="16" fillId="33" borderId="19" xfId="0" applyFont="1" applyFill="1" applyBorder="1" applyAlignment="1" applyProtection="1">
      <alignment horizontal="center" vertical="center" wrapText="1"/>
      <protection locked="0"/>
    </xf>
    <xf numFmtId="0" fontId="16" fillId="33" borderId="31" xfId="0" applyFont="1" applyFill="1" applyBorder="1" applyAlignment="1" applyProtection="1">
      <alignment horizontal="center" vertical="center" wrapText="1"/>
      <protection locked="0"/>
    </xf>
    <xf numFmtId="0" fontId="16" fillId="39" borderId="25" xfId="0" applyFont="1" applyFill="1" applyBorder="1" applyAlignment="1" applyProtection="1">
      <alignment horizontal="center" vertical="center" wrapText="1"/>
      <protection locked="0"/>
    </xf>
    <xf numFmtId="0" fontId="16" fillId="39" borderId="32" xfId="0" applyFont="1" applyFill="1" applyBorder="1" applyAlignment="1" applyProtection="1">
      <alignment horizontal="center" vertical="center" wrapText="1"/>
      <protection locked="0"/>
    </xf>
    <xf numFmtId="0" fontId="16" fillId="39" borderId="45" xfId="0" applyFont="1" applyFill="1" applyBorder="1" applyAlignment="1" applyProtection="1">
      <alignment horizontal="center" vertical="center" wrapText="1"/>
      <protection locked="0"/>
    </xf>
    <xf numFmtId="0" fontId="16" fillId="39" borderId="20" xfId="0" applyFont="1" applyFill="1" applyBorder="1" applyAlignment="1" applyProtection="1">
      <alignment horizontal="center" vertical="center" wrapText="1"/>
      <protection locked="0"/>
    </xf>
    <xf numFmtId="0" fontId="16" fillId="39" borderId="18" xfId="0" applyFont="1" applyFill="1" applyBorder="1" applyAlignment="1" applyProtection="1">
      <alignment horizontal="center" vertical="center" wrapText="1"/>
      <protection locked="0"/>
    </xf>
    <xf numFmtId="0" fontId="16" fillId="39" borderId="42" xfId="0" applyFont="1" applyFill="1" applyBorder="1" applyAlignment="1" applyProtection="1">
      <alignment horizontal="center" vertical="center" wrapText="1"/>
      <protection locked="0"/>
    </xf>
    <xf numFmtId="0" fontId="16" fillId="39" borderId="44" xfId="0" applyFont="1" applyFill="1" applyBorder="1" applyAlignment="1" applyProtection="1">
      <alignment horizontal="center" vertical="center" wrapText="1"/>
      <protection locked="0"/>
    </xf>
    <xf numFmtId="0" fontId="16" fillId="39" borderId="35" xfId="0" applyFont="1" applyFill="1" applyBorder="1" applyAlignment="1" applyProtection="1">
      <alignment horizontal="center" vertical="center" wrapText="1"/>
      <protection locked="0"/>
    </xf>
    <xf numFmtId="0" fontId="16" fillId="39" borderId="28" xfId="0" applyFont="1" applyFill="1" applyBorder="1" applyAlignment="1" applyProtection="1">
      <alignment horizontal="center" vertical="center" wrapText="1"/>
      <protection locked="0"/>
    </xf>
    <xf numFmtId="0" fontId="16" fillId="39" borderId="20" xfId="0" applyFont="1" applyFill="1" applyBorder="1" applyAlignment="1" applyProtection="1">
      <alignment horizontal="center" wrapText="1"/>
      <protection locked="0"/>
    </xf>
    <xf numFmtId="0" fontId="16" fillId="39" borderId="33" xfId="0" applyFont="1" applyFill="1" applyBorder="1" applyAlignment="1" applyProtection="1">
      <alignment horizontal="center" wrapText="1"/>
      <protection locked="0"/>
    </xf>
    <xf numFmtId="0" fontId="16" fillId="39" borderId="18" xfId="0" applyFont="1" applyFill="1" applyBorder="1" applyAlignment="1" applyProtection="1">
      <alignment horizontal="center" wrapText="1"/>
      <protection locked="0"/>
    </xf>
    <xf numFmtId="0" fontId="16" fillId="39" borderId="35" xfId="0" applyFont="1" applyFill="1" applyBorder="1" applyAlignment="1" applyProtection="1">
      <alignment horizontal="center" wrapText="1"/>
      <protection locked="0"/>
    </xf>
    <xf numFmtId="0" fontId="16" fillId="39" borderId="30" xfId="0" applyFont="1" applyFill="1" applyBorder="1" applyAlignment="1" applyProtection="1">
      <alignment horizontal="center" wrapText="1"/>
      <protection locked="0"/>
    </xf>
    <xf numFmtId="0" fontId="16" fillId="39" borderId="28" xfId="0" applyFont="1" applyFill="1" applyBorder="1" applyAlignment="1" applyProtection="1">
      <alignment horizontal="center" wrapText="1"/>
      <protection locked="0"/>
    </xf>
    <xf numFmtId="0" fontId="16" fillId="39" borderId="31" xfId="0" applyFont="1" applyFill="1" applyBorder="1" applyAlignment="1" applyProtection="1">
      <alignment horizontal="center" vertical="center" wrapText="1"/>
      <protection locked="0"/>
    </xf>
    <xf numFmtId="0" fontId="128" fillId="39" borderId="13" xfId="0" applyFont="1" applyFill="1" applyBorder="1" applyAlignment="1">
      <alignment/>
    </xf>
    <xf numFmtId="171" fontId="16" fillId="39" borderId="14" xfId="42" applyNumberFormat="1" applyFont="1" applyFill="1" applyBorder="1" applyAlignment="1" applyProtection="1">
      <alignment horizontal="center" wrapText="1"/>
      <protection locked="0"/>
    </xf>
    <xf numFmtId="171" fontId="16" fillId="39" borderId="97" xfId="42" applyNumberFormat="1" applyFont="1" applyFill="1" applyBorder="1" applyAlignment="1" applyProtection="1">
      <alignment horizontal="center" wrapText="1"/>
      <protection locked="0"/>
    </xf>
    <xf numFmtId="171" fontId="16" fillId="39" borderId="22" xfId="42" applyNumberFormat="1" applyFont="1" applyFill="1" applyBorder="1" applyAlignment="1" applyProtection="1">
      <alignment horizontal="center" wrapText="1"/>
      <protection locked="0"/>
    </xf>
    <xf numFmtId="171" fontId="16" fillId="39" borderId="10" xfId="42" applyNumberFormat="1" applyFont="1" applyFill="1" applyBorder="1" applyAlignment="1" applyProtection="1">
      <alignment horizontal="center" wrapText="1"/>
      <protection locked="0"/>
    </xf>
    <xf numFmtId="171" fontId="16" fillId="39" borderId="21" xfId="42" applyNumberFormat="1" applyFont="1" applyFill="1" applyBorder="1" applyAlignment="1" applyProtection="1">
      <alignment horizontal="center" wrapText="1"/>
      <protection locked="0"/>
    </xf>
    <xf numFmtId="171" fontId="16" fillId="39" borderId="34" xfId="42" applyNumberFormat="1" applyFont="1" applyFill="1" applyBorder="1" applyAlignment="1" applyProtection="1">
      <alignment horizontal="center" vertical="center" wrapText="1"/>
      <protection locked="0"/>
    </xf>
    <xf numFmtId="171" fontId="16" fillId="39" borderId="38" xfId="42" applyNumberFormat="1" applyFont="1" applyFill="1" applyBorder="1" applyAlignment="1" applyProtection="1">
      <alignment horizontal="center" vertical="center" wrapText="1"/>
      <protection locked="0"/>
    </xf>
    <xf numFmtId="171" fontId="16" fillId="39" borderId="12" xfId="42" applyNumberFormat="1" applyFont="1" applyFill="1" applyBorder="1" applyAlignment="1" applyProtection="1">
      <alignment horizontal="center" vertical="center" wrapText="1"/>
      <protection locked="0"/>
    </xf>
    <xf numFmtId="171" fontId="16" fillId="39" borderId="98" xfId="42" applyNumberFormat="1" applyFont="1" applyFill="1" applyBorder="1" applyAlignment="1" applyProtection="1">
      <alignment horizontal="center" wrapText="1"/>
      <protection locked="0"/>
    </xf>
    <xf numFmtId="171" fontId="16" fillId="39" borderId="37" xfId="42" applyNumberFormat="1" applyFont="1" applyFill="1" applyBorder="1" applyAlignment="1" applyProtection="1">
      <alignment horizontal="center" wrapText="1"/>
      <protection locked="0"/>
    </xf>
    <xf numFmtId="171" fontId="16" fillId="39" borderId="99" xfId="42" applyNumberFormat="1" applyFont="1" applyFill="1" applyBorder="1" applyAlignment="1" applyProtection="1">
      <alignment horizontal="center" wrapText="1"/>
      <protection locked="0"/>
    </xf>
    <xf numFmtId="171" fontId="16" fillId="39" borderId="42" xfId="42" applyNumberFormat="1" applyFont="1" applyFill="1" applyBorder="1" applyAlignment="1" applyProtection="1">
      <alignment horizontal="center" wrapText="1"/>
      <protection locked="0"/>
    </xf>
    <xf numFmtId="171" fontId="16" fillId="39" borderId="0" xfId="42" applyNumberFormat="1" applyFont="1" applyFill="1" applyBorder="1" applyAlignment="1" applyProtection="1">
      <alignment horizontal="center" wrapText="1"/>
      <protection locked="0"/>
    </xf>
    <xf numFmtId="171" fontId="16" fillId="39" borderId="44" xfId="42" applyNumberFormat="1" applyFont="1" applyFill="1" applyBorder="1" applyAlignment="1" applyProtection="1">
      <alignment horizontal="center" wrapText="1"/>
      <protection locked="0"/>
    </xf>
    <xf numFmtId="171" fontId="16" fillId="39" borderId="20" xfId="42" applyNumberFormat="1" applyFont="1" applyFill="1" applyBorder="1" applyAlignment="1" applyProtection="1">
      <alignment horizontal="center" vertical="center" wrapText="1"/>
      <protection locked="0"/>
    </xf>
    <xf numFmtId="171" fontId="16" fillId="39" borderId="33" xfId="42" applyNumberFormat="1" applyFont="1" applyFill="1" applyBorder="1" applyAlignment="1" applyProtection="1">
      <alignment horizontal="center" vertical="center" wrapText="1"/>
      <protection locked="0"/>
    </xf>
    <xf numFmtId="171" fontId="16" fillId="39" borderId="18" xfId="42" applyNumberFormat="1" applyFont="1" applyFill="1" applyBorder="1" applyAlignment="1" applyProtection="1">
      <alignment horizontal="center" vertical="center" wrapText="1"/>
      <protection locked="0"/>
    </xf>
    <xf numFmtId="171" fontId="16" fillId="39" borderId="35" xfId="42" applyNumberFormat="1" applyFont="1" applyFill="1" applyBorder="1" applyAlignment="1" applyProtection="1">
      <alignment horizontal="center" vertical="center" wrapText="1"/>
      <protection locked="0"/>
    </xf>
    <xf numFmtId="171" fontId="16" fillId="39" borderId="30" xfId="42" applyNumberFormat="1" applyFont="1" applyFill="1" applyBorder="1" applyAlignment="1" applyProtection="1">
      <alignment horizontal="center" vertical="center" wrapText="1"/>
      <protection locked="0"/>
    </xf>
    <xf numFmtId="171" fontId="16" fillId="39" borderId="28" xfId="42" applyNumberFormat="1" applyFont="1" applyFill="1" applyBorder="1" applyAlignment="1" applyProtection="1">
      <alignment horizontal="center" vertical="center" wrapText="1"/>
      <protection locked="0"/>
    </xf>
    <xf numFmtId="171" fontId="16" fillId="39" borderId="26" xfId="42" applyNumberFormat="1" applyFont="1" applyFill="1" applyBorder="1" applyAlignment="1" applyProtection="1">
      <alignment horizontal="center" vertical="center" wrapText="1"/>
      <protection locked="0"/>
    </xf>
    <xf numFmtId="171" fontId="16" fillId="39" borderId="31" xfId="42" applyNumberFormat="1" applyFont="1" applyFill="1" applyBorder="1" applyAlignment="1" applyProtection="1">
      <alignment horizontal="center" vertical="center" wrapText="1"/>
      <protection locked="0"/>
    </xf>
    <xf numFmtId="171" fontId="16" fillId="39" borderId="13" xfId="42" applyNumberFormat="1" applyFont="1" applyFill="1" applyBorder="1" applyAlignment="1" applyProtection="1">
      <alignment horizontal="center" vertical="center" wrapText="1"/>
      <protection locked="0"/>
    </xf>
    <xf numFmtId="171" fontId="16" fillId="39" borderId="19" xfId="42" applyNumberFormat="1" applyFont="1" applyFill="1" applyBorder="1" applyAlignment="1" applyProtection="1">
      <alignment horizontal="center" wrapText="1"/>
      <protection locked="0"/>
    </xf>
    <xf numFmtId="171" fontId="16" fillId="39" borderId="13" xfId="42" applyNumberFormat="1" applyFont="1" applyFill="1" applyBorder="1" applyAlignment="1" applyProtection="1">
      <alignment horizontal="center" wrapText="1"/>
      <protection locked="0"/>
    </xf>
    <xf numFmtId="171" fontId="5" fillId="0" borderId="25" xfId="44" applyNumberFormat="1" applyFont="1" applyFill="1" applyBorder="1" applyAlignment="1" applyProtection="1">
      <alignment horizontal="center" vertical="center"/>
      <protection locked="0"/>
    </xf>
    <xf numFmtId="171" fontId="5" fillId="0" borderId="45" xfId="44" applyNumberFormat="1" applyFont="1" applyFill="1" applyBorder="1" applyAlignment="1" applyProtection="1">
      <alignment horizontal="center" vertical="center"/>
      <protection locked="0"/>
    </xf>
    <xf numFmtId="171" fontId="5" fillId="0" borderId="100" xfId="44" applyNumberFormat="1" applyFont="1" applyFill="1" applyBorder="1" applyAlignment="1" applyProtection="1">
      <alignment horizontal="center" vertical="center"/>
      <protection locked="0"/>
    </xf>
    <xf numFmtId="171" fontId="5" fillId="0" borderId="32" xfId="44" applyNumberFormat="1" applyFont="1" applyFill="1" applyBorder="1" applyAlignment="1" applyProtection="1">
      <alignment horizontal="center" vertical="center"/>
      <protection locked="0"/>
    </xf>
    <xf numFmtId="171" fontId="5" fillId="0" borderId="101" xfId="44" applyNumberFormat="1" applyFont="1" applyFill="1" applyBorder="1" applyAlignment="1" applyProtection="1">
      <alignment horizontal="center" vertical="center"/>
      <protection locked="0"/>
    </xf>
    <xf numFmtId="171" fontId="5" fillId="0" borderId="26" xfId="44" applyNumberFormat="1" applyFont="1" applyFill="1" applyBorder="1" applyAlignment="1" applyProtection="1">
      <alignment horizontal="center" vertical="center"/>
      <protection locked="0"/>
    </xf>
    <xf numFmtId="171" fontId="5" fillId="0" borderId="31" xfId="44" applyNumberFormat="1" applyFont="1" applyFill="1" applyBorder="1" applyAlignment="1" applyProtection="1">
      <alignment horizontal="center" vertical="center"/>
      <protection locked="0"/>
    </xf>
    <xf numFmtId="171" fontId="5" fillId="0" borderId="36" xfId="44" applyNumberFormat="1" applyFont="1" applyFill="1" applyBorder="1" applyAlignment="1" applyProtection="1">
      <alignment horizontal="center" vertical="center"/>
      <protection locked="0"/>
    </xf>
    <xf numFmtId="171" fontId="5" fillId="34" borderId="102" xfId="44" applyNumberFormat="1" applyFont="1" applyFill="1" applyBorder="1" applyAlignment="1" applyProtection="1">
      <alignment horizontal="center" vertical="center"/>
      <protection locked="0"/>
    </xf>
    <xf numFmtId="171" fontId="5" fillId="34" borderId="103" xfId="44" applyNumberFormat="1" applyFont="1" applyFill="1" applyBorder="1" applyAlignment="1" applyProtection="1">
      <alignment horizontal="center" vertical="center"/>
      <protection locked="0"/>
    </xf>
    <xf numFmtId="171" fontId="5" fillId="34" borderId="104" xfId="44" applyNumberFormat="1" applyFont="1" applyFill="1" applyBorder="1" applyAlignment="1" applyProtection="1">
      <alignment horizontal="center" vertical="center"/>
      <protection locked="0"/>
    </xf>
    <xf numFmtId="0" fontId="3" fillId="0" borderId="100" xfId="0" applyFont="1" applyFill="1" applyBorder="1" applyAlignment="1" applyProtection="1">
      <alignment horizontal="center" vertical="center" wrapText="1"/>
      <protection/>
    </xf>
    <xf numFmtId="0" fontId="3" fillId="0" borderId="32" xfId="0" applyFont="1" applyFill="1" applyBorder="1" applyAlignment="1" applyProtection="1">
      <alignment horizontal="center" vertical="center" wrapText="1"/>
      <protection/>
    </xf>
    <xf numFmtId="0" fontId="3" fillId="0" borderId="45"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3" fillId="0" borderId="31" xfId="0" applyFont="1" applyFill="1" applyBorder="1" applyAlignment="1" applyProtection="1">
      <alignment horizontal="center" vertical="center" wrapText="1"/>
      <protection/>
    </xf>
    <xf numFmtId="0" fontId="3" fillId="0" borderId="13"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top" wrapText="1"/>
      <protection/>
    </xf>
    <xf numFmtId="0" fontId="3" fillId="0" borderId="31" xfId="0" applyFont="1" applyFill="1" applyBorder="1" applyAlignment="1" applyProtection="1">
      <alignment horizontal="center" vertical="top" wrapText="1"/>
      <protection/>
    </xf>
    <xf numFmtId="0" fontId="3" fillId="0" borderId="13" xfId="0" applyFont="1" applyFill="1" applyBorder="1" applyAlignment="1" applyProtection="1">
      <alignment horizontal="center" vertical="top" wrapText="1"/>
      <protection/>
    </xf>
    <xf numFmtId="0" fontId="5" fillId="0" borderId="26" xfId="58" applyFont="1" applyFill="1" applyBorder="1" applyAlignment="1" applyProtection="1">
      <alignment horizontal="center" vertical="center" wrapText="1"/>
      <protection/>
    </xf>
    <xf numFmtId="0" fontId="5" fillId="0" borderId="31" xfId="58" applyFont="1" applyFill="1" applyBorder="1" applyAlignment="1" applyProtection="1">
      <alignment horizontal="center" vertical="center" wrapText="1"/>
      <protection/>
    </xf>
    <xf numFmtId="0" fontId="5" fillId="0" borderId="36" xfId="58" applyFont="1" applyFill="1" applyBorder="1" applyAlignment="1" applyProtection="1">
      <alignment horizontal="center" vertical="center" wrapText="1"/>
      <protection/>
    </xf>
    <xf numFmtId="0" fontId="5" fillId="0" borderId="10" xfId="58" applyFont="1" applyFill="1" applyBorder="1" applyAlignment="1" applyProtection="1">
      <alignment horizontal="center" vertical="center" wrapText="1"/>
      <protection/>
    </xf>
    <xf numFmtId="0" fontId="5" fillId="0" borderId="11" xfId="58" applyFont="1" applyFill="1" applyBorder="1" applyAlignment="1" applyProtection="1">
      <alignment horizontal="center" vertical="center" wrapText="1"/>
      <protection/>
    </xf>
    <xf numFmtId="0" fontId="3" fillId="0" borderId="99" xfId="0" applyFont="1" applyFill="1" applyBorder="1" applyAlignment="1" applyProtection="1">
      <alignment horizontal="center" vertical="top" wrapText="1"/>
      <protection/>
    </xf>
    <xf numFmtId="0" fontId="3" fillId="0" borderId="44" xfId="0" applyFont="1" applyFill="1" applyBorder="1" applyAlignment="1" applyProtection="1">
      <alignment horizontal="center" vertical="top" wrapText="1"/>
      <protection/>
    </xf>
    <xf numFmtId="0" fontId="3" fillId="0" borderId="10" xfId="0" applyFont="1" applyFill="1" applyBorder="1" applyAlignment="1" applyProtection="1">
      <alignment horizontal="center" vertical="center" wrapText="1"/>
      <protection/>
    </xf>
    <xf numFmtId="0" fontId="3" fillId="0" borderId="26" xfId="0" applyFont="1" applyFill="1" applyBorder="1" applyAlignment="1" applyProtection="1">
      <alignment horizontal="left" vertical="center" wrapText="1"/>
      <protection/>
    </xf>
    <xf numFmtId="0" fontId="3" fillId="0" borderId="31" xfId="0" applyFont="1" applyFill="1" applyBorder="1" applyAlignment="1" applyProtection="1">
      <alignment horizontal="left" vertical="center" wrapText="1"/>
      <protection/>
    </xf>
    <xf numFmtId="0" fontId="3" fillId="0" borderId="36" xfId="0" applyFont="1" applyFill="1" applyBorder="1" applyAlignment="1" applyProtection="1">
      <alignment horizontal="left" vertical="center" wrapText="1"/>
      <protection/>
    </xf>
    <xf numFmtId="0" fontId="3" fillId="0" borderId="10" xfId="0" applyFont="1" applyFill="1" applyBorder="1" applyAlignment="1" applyProtection="1">
      <alignment horizontal="left" vertical="top" wrapText="1"/>
      <protection/>
    </xf>
    <xf numFmtId="0" fontId="3" fillId="0" borderId="19" xfId="0" applyFont="1" applyFill="1" applyBorder="1" applyAlignment="1" applyProtection="1">
      <alignment horizontal="left" vertical="top" wrapText="1"/>
      <protection/>
    </xf>
    <xf numFmtId="0" fontId="3" fillId="0" borderId="13" xfId="0" applyFont="1" applyFill="1" applyBorder="1" applyAlignment="1" applyProtection="1">
      <alignment horizontal="left" vertical="top" wrapText="1"/>
      <protection/>
    </xf>
    <xf numFmtId="0" fontId="3" fillId="0" borderId="26" xfId="0" applyFont="1" applyFill="1" applyBorder="1" applyAlignment="1" applyProtection="1">
      <alignment horizontal="left" vertical="top" wrapText="1"/>
      <protection/>
    </xf>
    <xf numFmtId="0" fontId="3" fillId="0" borderId="31" xfId="0" applyFont="1" applyFill="1" applyBorder="1" applyAlignment="1" applyProtection="1">
      <alignment horizontal="left" vertical="top" wrapText="1"/>
      <protection/>
    </xf>
    <xf numFmtId="0" fontId="5" fillId="39" borderId="25" xfId="0" applyFont="1" applyFill="1" applyBorder="1" applyAlignment="1" applyProtection="1">
      <alignment horizontal="center" vertical="center" wrapText="1"/>
      <protection locked="0"/>
    </xf>
    <xf numFmtId="0" fontId="5" fillId="39" borderId="32" xfId="0" applyFont="1" applyFill="1" applyBorder="1" applyAlignment="1" applyProtection="1">
      <alignment horizontal="center" vertical="center" wrapText="1"/>
      <protection locked="0"/>
    </xf>
    <xf numFmtId="0" fontId="5" fillId="39" borderId="45" xfId="0" applyFont="1" applyFill="1" applyBorder="1" applyAlignment="1" applyProtection="1">
      <alignment horizontal="center" vertical="center" wrapText="1"/>
      <protection locked="0"/>
    </xf>
    <xf numFmtId="0" fontId="3" fillId="0" borderId="101"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top" wrapText="1"/>
      <protection/>
    </xf>
    <xf numFmtId="0" fontId="3" fillId="0" borderId="11" xfId="0" applyFont="1" applyFill="1" applyBorder="1" applyAlignment="1" applyProtection="1">
      <alignment horizontal="center" vertical="center" wrapText="1"/>
      <protection/>
    </xf>
    <xf numFmtId="171" fontId="5" fillId="39" borderId="34" xfId="44" applyNumberFormat="1" applyFont="1" applyFill="1" applyBorder="1" applyAlignment="1" applyProtection="1">
      <alignment horizontal="center" wrapText="1"/>
      <protection locked="0"/>
    </xf>
    <xf numFmtId="171" fontId="5" fillId="39" borderId="38" xfId="44" applyNumberFormat="1" applyFont="1" applyFill="1" applyBorder="1" applyAlignment="1" applyProtection="1">
      <alignment horizontal="center" wrapText="1"/>
      <protection locked="0"/>
    </xf>
    <xf numFmtId="171" fontId="5" fillId="39" borderId="12" xfId="44" applyNumberFormat="1" applyFont="1" applyFill="1" applyBorder="1" applyAlignment="1" applyProtection="1">
      <alignment horizontal="center" wrapText="1"/>
      <protection locked="0"/>
    </xf>
    <xf numFmtId="0" fontId="5" fillId="0" borderId="26" xfId="0" applyFont="1" applyFill="1" applyBorder="1" applyAlignment="1" applyProtection="1">
      <alignment horizontal="center" vertical="center" wrapText="1"/>
      <protection/>
    </xf>
    <xf numFmtId="0" fontId="5" fillId="0" borderId="31" xfId="0" applyFont="1" applyFill="1" applyBorder="1" applyAlignment="1" applyProtection="1">
      <alignment horizontal="center" vertical="center" wrapText="1"/>
      <protection/>
    </xf>
    <xf numFmtId="0" fontId="5" fillId="0" borderId="13" xfId="0" applyFont="1" applyFill="1" applyBorder="1" applyAlignment="1" applyProtection="1">
      <alignment horizontal="center" vertical="center" wrapText="1"/>
      <protection/>
    </xf>
    <xf numFmtId="0" fontId="3" fillId="0" borderId="36" xfId="0" applyFont="1" applyFill="1" applyBorder="1" applyAlignment="1" applyProtection="1">
      <alignment horizontal="left" vertical="top" wrapText="1"/>
      <protection/>
    </xf>
    <xf numFmtId="0" fontId="5" fillId="0" borderId="10" xfId="0" applyFont="1" applyFill="1" applyBorder="1" applyAlignment="1" applyProtection="1">
      <alignment horizontal="center" vertical="center" wrapText="1"/>
      <protection/>
    </xf>
    <xf numFmtId="171" fontId="5" fillId="39" borderId="98" xfId="44" applyNumberFormat="1" applyFont="1" applyFill="1" applyBorder="1" applyAlignment="1" applyProtection="1">
      <alignment horizontal="center" wrapText="1"/>
      <protection locked="0"/>
    </xf>
    <xf numFmtId="171" fontId="5" fillId="39" borderId="37" xfId="44" applyNumberFormat="1" applyFont="1" applyFill="1" applyBorder="1" applyAlignment="1" applyProtection="1">
      <alignment horizontal="center" wrapText="1"/>
      <protection locked="0"/>
    </xf>
    <xf numFmtId="171" fontId="5" fillId="39" borderId="99" xfId="44" applyNumberFormat="1" applyFont="1" applyFill="1" applyBorder="1" applyAlignment="1" applyProtection="1">
      <alignment horizontal="center" wrapText="1"/>
      <protection locked="0"/>
    </xf>
    <xf numFmtId="171" fontId="5" fillId="39" borderId="35" xfId="44" applyNumberFormat="1" applyFont="1" applyFill="1" applyBorder="1" applyAlignment="1" applyProtection="1">
      <alignment horizontal="center" wrapText="1"/>
      <protection locked="0"/>
    </xf>
    <xf numFmtId="171" fontId="5" fillId="39" borderId="30" xfId="44" applyNumberFormat="1" applyFont="1" applyFill="1" applyBorder="1" applyAlignment="1" applyProtection="1">
      <alignment horizontal="center" wrapText="1"/>
      <protection locked="0"/>
    </xf>
    <xf numFmtId="171" fontId="5" fillId="39" borderId="28" xfId="44" applyNumberFormat="1" applyFont="1" applyFill="1" applyBorder="1" applyAlignment="1" applyProtection="1">
      <alignment horizontal="center" wrapText="1"/>
      <protection locked="0"/>
    </xf>
    <xf numFmtId="171" fontId="5" fillId="34" borderId="26" xfId="44" applyNumberFormat="1" applyFont="1" applyFill="1" applyBorder="1" applyAlignment="1" applyProtection="1">
      <alignment horizontal="center" wrapText="1"/>
      <protection locked="0"/>
    </xf>
    <xf numFmtId="171" fontId="5" fillId="34" borderId="31" xfId="44" applyNumberFormat="1" applyFont="1" applyFill="1" applyBorder="1" applyAlignment="1" applyProtection="1">
      <alignment horizontal="center" wrapText="1"/>
      <protection locked="0"/>
    </xf>
    <xf numFmtId="171" fontId="5" fillId="34" borderId="13" xfId="44" applyNumberFormat="1" applyFont="1" applyFill="1" applyBorder="1" applyAlignment="1" applyProtection="1">
      <alignment horizontal="center" wrapText="1"/>
      <protection locked="0"/>
    </xf>
    <xf numFmtId="171" fontId="5" fillId="39" borderId="19" xfId="44" applyNumberFormat="1" applyFont="1" applyFill="1" applyBorder="1" applyAlignment="1" applyProtection="1">
      <alignment horizontal="center" wrapText="1"/>
      <protection locked="0"/>
    </xf>
    <xf numFmtId="171" fontId="5" fillId="39" borderId="13" xfId="44" applyNumberFormat="1" applyFont="1" applyFill="1" applyBorder="1" applyAlignment="1" applyProtection="1">
      <alignment horizontal="center" wrapText="1"/>
      <protection locked="0"/>
    </xf>
    <xf numFmtId="171" fontId="5" fillId="39" borderId="20" xfId="44" applyNumberFormat="1" applyFont="1" applyFill="1" applyBorder="1" applyAlignment="1" applyProtection="1">
      <alignment horizontal="center" vertical="center" wrapText="1"/>
      <protection locked="0"/>
    </xf>
    <xf numFmtId="171" fontId="5" fillId="39" borderId="33" xfId="44" applyNumberFormat="1" applyFont="1" applyFill="1" applyBorder="1" applyAlignment="1" applyProtection="1">
      <alignment horizontal="center" vertical="center" wrapText="1"/>
      <protection locked="0"/>
    </xf>
    <xf numFmtId="171" fontId="5" fillId="39" borderId="18" xfId="44" applyNumberFormat="1" applyFont="1" applyFill="1" applyBorder="1" applyAlignment="1" applyProtection="1">
      <alignment horizontal="center" vertical="center" wrapText="1"/>
      <protection locked="0"/>
    </xf>
    <xf numFmtId="171" fontId="5" fillId="39" borderId="35" xfId="44" applyNumberFormat="1" applyFont="1" applyFill="1" applyBorder="1" applyAlignment="1" applyProtection="1">
      <alignment horizontal="center" vertical="center" wrapText="1"/>
      <protection locked="0"/>
    </xf>
    <xf numFmtId="171" fontId="5" fillId="39" borderId="30" xfId="44" applyNumberFormat="1" applyFont="1" applyFill="1" applyBorder="1" applyAlignment="1" applyProtection="1">
      <alignment horizontal="center" vertical="center" wrapText="1"/>
      <protection locked="0"/>
    </xf>
    <xf numFmtId="171" fontId="5" fillId="39" borderId="28" xfId="44" applyNumberFormat="1" applyFont="1" applyFill="1" applyBorder="1" applyAlignment="1" applyProtection="1">
      <alignment horizontal="center" vertical="center" wrapText="1"/>
      <protection locked="0"/>
    </xf>
    <xf numFmtId="0" fontId="5" fillId="39" borderId="31" xfId="0" applyFont="1" applyFill="1" applyBorder="1" applyAlignment="1" applyProtection="1">
      <alignment horizontal="center" vertical="center" wrapText="1"/>
      <protection locked="0"/>
    </xf>
    <xf numFmtId="0" fontId="5" fillId="39" borderId="13" xfId="0" applyFont="1" applyFill="1" applyBorder="1" applyAlignment="1" applyProtection="1">
      <alignment horizontal="center" vertical="center" wrapText="1"/>
      <protection locked="0"/>
    </xf>
    <xf numFmtId="0" fontId="5" fillId="39" borderId="20" xfId="0" applyFont="1" applyFill="1" applyBorder="1" applyAlignment="1" applyProtection="1">
      <alignment horizontal="center" wrapText="1"/>
      <protection locked="0"/>
    </xf>
    <xf numFmtId="0" fontId="5" fillId="39" borderId="33" xfId="0" applyFont="1" applyFill="1" applyBorder="1" applyAlignment="1" applyProtection="1">
      <alignment horizontal="center" wrapText="1"/>
      <protection locked="0"/>
    </xf>
    <xf numFmtId="0" fontId="5" fillId="39" borderId="18" xfId="0" applyFont="1" applyFill="1" applyBorder="1" applyAlignment="1" applyProtection="1">
      <alignment horizontal="center" wrapText="1"/>
      <protection locked="0"/>
    </xf>
    <xf numFmtId="0" fontId="5" fillId="39" borderId="35" xfId="0" applyFont="1" applyFill="1" applyBorder="1" applyAlignment="1" applyProtection="1">
      <alignment horizontal="center" wrapText="1"/>
      <protection locked="0"/>
    </xf>
    <xf numFmtId="0" fontId="5" fillId="39" borderId="30" xfId="0" applyFont="1" applyFill="1" applyBorder="1" applyAlignment="1" applyProtection="1">
      <alignment horizontal="center" wrapText="1"/>
      <protection locked="0"/>
    </xf>
    <xf numFmtId="0" fontId="5" fillId="39" borderId="28" xfId="0" applyFont="1" applyFill="1" applyBorder="1" applyAlignment="1" applyProtection="1">
      <alignment horizontal="center" wrapText="1"/>
      <protection locked="0"/>
    </xf>
    <xf numFmtId="0" fontId="5" fillId="39" borderId="42" xfId="0" applyFont="1" applyFill="1" applyBorder="1" applyAlignment="1" applyProtection="1">
      <alignment horizontal="center" wrapText="1"/>
      <protection locked="0"/>
    </xf>
    <xf numFmtId="0" fontId="5" fillId="39" borderId="0" xfId="0" applyFont="1" applyFill="1" applyBorder="1" applyAlignment="1" applyProtection="1">
      <alignment horizontal="center" wrapText="1"/>
      <protection locked="0"/>
    </xf>
    <xf numFmtId="0" fontId="5" fillId="39" borderId="44" xfId="0" applyFont="1" applyFill="1" applyBorder="1" applyAlignment="1" applyProtection="1">
      <alignment horizontal="center" wrapText="1"/>
      <protection locked="0"/>
    </xf>
    <xf numFmtId="0" fontId="5" fillId="33" borderId="24" xfId="0" applyFont="1" applyFill="1" applyBorder="1" applyAlignment="1">
      <alignment horizontal="center" wrapText="1"/>
    </xf>
    <xf numFmtId="0" fontId="5" fillId="39" borderId="96" xfId="0" applyFont="1" applyFill="1" applyBorder="1" applyAlignment="1" applyProtection="1">
      <alignment horizontal="center" vertical="center" wrapText="1"/>
      <protection locked="0"/>
    </xf>
    <xf numFmtId="0" fontId="5" fillId="39" borderId="46" xfId="0" applyFont="1" applyFill="1" applyBorder="1" applyAlignment="1" applyProtection="1">
      <alignment horizontal="center" vertical="center" wrapText="1"/>
      <protection locked="0"/>
    </xf>
    <xf numFmtId="0" fontId="5" fillId="39" borderId="27" xfId="0" applyFont="1" applyFill="1" applyBorder="1" applyAlignment="1" applyProtection="1">
      <alignment horizontal="center" vertical="center" wrapText="1"/>
      <protection locked="0"/>
    </xf>
    <xf numFmtId="0" fontId="102" fillId="39" borderId="97" xfId="0" applyFont="1" applyFill="1" applyBorder="1" applyAlignment="1">
      <alignment horizontal="center" vertical="center" wrapText="1"/>
    </xf>
    <xf numFmtId="0" fontId="102" fillId="39" borderId="46" xfId="0" applyFont="1" applyFill="1" applyBorder="1" applyAlignment="1">
      <alignment horizontal="center" vertical="center" wrapText="1"/>
    </xf>
    <xf numFmtId="0" fontId="102" fillId="39" borderId="27" xfId="0" applyFont="1" applyFill="1" applyBorder="1" applyAlignment="1">
      <alignment horizontal="center" vertical="center" wrapText="1"/>
    </xf>
    <xf numFmtId="171" fontId="103" fillId="34" borderId="102" xfId="44" applyNumberFormat="1" applyFont="1" applyFill="1" applyBorder="1" applyAlignment="1" applyProtection="1">
      <alignment horizontal="center" vertical="center"/>
      <protection locked="0"/>
    </xf>
    <xf numFmtId="171" fontId="103" fillId="34" borderId="103" xfId="44" applyNumberFormat="1" applyFont="1" applyFill="1" applyBorder="1" applyAlignment="1" applyProtection="1">
      <alignment horizontal="center" vertical="center"/>
      <protection locked="0"/>
    </xf>
    <xf numFmtId="171" fontId="103" fillId="34" borderId="104" xfId="44" applyNumberFormat="1" applyFont="1" applyFill="1" applyBorder="1" applyAlignment="1" applyProtection="1">
      <alignment horizontal="center" vertical="center"/>
      <protection locked="0"/>
    </xf>
    <xf numFmtId="171" fontId="5" fillId="8" borderId="14" xfId="44" applyNumberFormat="1" applyFont="1" applyFill="1" applyBorder="1" applyAlignment="1" applyProtection="1">
      <alignment horizontal="center" wrapText="1"/>
      <protection locked="0"/>
    </xf>
    <xf numFmtId="171" fontId="5" fillId="8" borderId="22" xfId="44" applyNumberFormat="1" applyFont="1" applyFill="1" applyBorder="1" applyAlignment="1" applyProtection="1">
      <alignment horizontal="center" wrapText="1"/>
      <protection locked="0"/>
    </xf>
    <xf numFmtId="171" fontId="5" fillId="8" borderId="10" xfId="44" applyNumberFormat="1" applyFont="1" applyFill="1" applyBorder="1" applyAlignment="1" applyProtection="1">
      <alignment horizontal="center" wrapText="1"/>
      <protection locked="0"/>
    </xf>
    <xf numFmtId="171" fontId="5" fillId="8" borderId="21" xfId="44" applyNumberFormat="1" applyFont="1" applyFill="1" applyBorder="1" applyAlignment="1" applyProtection="1">
      <alignment horizontal="center" wrapText="1"/>
      <protection locked="0"/>
    </xf>
    <xf numFmtId="171" fontId="5" fillId="8" borderId="105" xfId="44" applyNumberFormat="1" applyFont="1" applyFill="1" applyBorder="1" applyAlignment="1" applyProtection="1">
      <alignment horizontal="center" wrapText="1"/>
      <protection locked="0"/>
    </xf>
    <xf numFmtId="171" fontId="5" fillId="8" borderId="37" xfId="44" applyNumberFormat="1" applyFont="1" applyFill="1" applyBorder="1" applyAlignment="1" applyProtection="1">
      <alignment horizontal="center" wrapText="1"/>
      <protection locked="0"/>
    </xf>
    <xf numFmtId="171" fontId="5" fillId="8" borderId="106" xfId="44" applyNumberFormat="1" applyFont="1" applyFill="1" applyBorder="1" applyAlignment="1" applyProtection="1">
      <alignment horizontal="center" wrapText="1"/>
      <protection locked="0"/>
    </xf>
    <xf numFmtId="171" fontId="5" fillId="8" borderId="107" xfId="44" applyNumberFormat="1" applyFont="1" applyFill="1" applyBorder="1" applyAlignment="1" applyProtection="1">
      <alignment horizontal="center" wrapText="1"/>
      <protection locked="0"/>
    </xf>
    <xf numFmtId="171" fontId="5" fillId="8" borderId="0" xfId="44" applyNumberFormat="1" applyFont="1" applyFill="1" applyBorder="1" applyAlignment="1" applyProtection="1">
      <alignment horizontal="center" wrapText="1"/>
      <protection locked="0"/>
    </xf>
    <xf numFmtId="171" fontId="5" fillId="8" borderId="108" xfId="44" applyNumberFormat="1" applyFont="1" applyFill="1" applyBorder="1" applyAlignment="1" applyProtection="1">
      <alignment horizontal="center" wrapText="1"/>
      <protection locked="0"/>
    </xf>
    <xf numFmtId="171" fontId="5" fillId="8" borderId="40" xfId="44" applyNumberFormat="1" applyFont="1" applyFill="1" applyBorder="1" applyAlignment="1" applyProtection="1">
      <alignment horizontal="center" wrapText="1"/>
      <protection locked="0"/>
    </xf>
    <xf numFmtId="171" fontId="5" fillId="8" borderId="30" xfId="44" applyNumberFormat="1" applyFont="1" applyFill="1" applyBorder="1" applyAlignment="1" applyProtection="1">
      <alignment horizontal="center" wrapText="1"/>
      <protection locked="0"/>
    </xf>
    <xf numFmtId="171" fontId="5" fillId="8" borderId="41" xfId="44" applyNumberFormat="1" applyFont="1" applyFill="1" applyBorder="1" applyAlignment="1" applyProtection="1">
      <alignment horizontal="center" wrapText="1"/>
      <protection locked="0"/>
    </xf>
    <xf numFmtId="0" fontId="5" fillId="39" borderId="19" xfId="0" applyFont="1" applyFill="1" applyBorder="1" applyAlignment="1" applyProtection="1">
      <alignment horizontal="center" vertical="center" wrapText="1"/>
      <protection locked="0"/>
    </xf>
    <xf numFmtId="0" fontId="5" fillId="39" borderId="20" xfId="0" applyFont="1" applyFill="1" applyBorder="1" applyAlignment="1" applyProtection="1">
      <alignment horizontal="center" vertical="center" wrapText="1"/>
      <protection locked="0"/>
    </xf>
    <xf numFmtId="0" fontId="5" fillId="39" borderId="18" xfId="0" applyFont="1" applyFill="1" applyBorder="1" applyAlignment="1" applyProtection="1">
      <alignment horizontal="center" vertical="center" wrapText="1"/>
      <protection locked="0"/>
    </xf>
    <xf numFmtId="0" fontId="5" fillId="39" borderId="42" xfId="0" applyFont="1" applyFill="1" applyBorder="1" applyAlignment="1" applyProtection="1">
      <alignment horizontal="center" vertical="center" wrapText="1"/>
      <protection locked="0"/>
    </xf>
    <xf numFmtId="0" fontId="5" fillId="39" borderId="44" xfId="0" applyFont="1" applyFill="1" applyBorder="1" applyAlignment="1" applyProtection="1">
      <alignment horizontal="center" vertical="center" wrapText="1"/>
      <protection locked="0"/>
    </xf>
    <xf numFmtId="0" fontId="5" fillId="39" borderId="35" xfId="0" applyFont="1" applyFill="1" applyBorder="1" applyAlignment="1" applyProtection="1">
      <alignment horizontal="center" vertical="center" wrapText="1"/>
      <protection locked="0"/>
    </xf>
    <xf numFmtId="0" fontId="5" fillId="39" borderId="28"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left" vertical="center" wrapText="1"/>
      <protection/>
    </xf>
    <xf numFmtId="0" fontId="3" fillId="0" borderId="19" xfId="0" applyFont="1" applyFill="1" applyBorder="1" applyAlignment="1" applyProtection="1">
      <alignment horizontal="left" vertical="center" wrapText="1"/>
      <protection/>
    </xf>
    <xf numFmtId="0" fontId="3" fillId="0" borderId="13" xfId="0" applyFont="1" applyFill="1" applyBorder="1" applyAlignment="1" applyProtection="1">
      <alignment horizontal="left" vertical="center" wrapText="1"/>
      <protection/>
    </xf>
    <xf numFmtId="0" fontId="5" fillId="8" borderId="34" xfId="0" applyFont="1" applyFill="1" applyBorder="1" applyAlignment="1" applyProtection="1">
      <alignment horizontal="left" vertical="center" wrapText="1"/>
      <protection locked="0"/>
    </xf>
    <xf numFmtId="0" fontId="5" fillId="8" borderId="38" xfId="0" applyFont="1" applyFill="1" applyBorder="1" applyAlignment="1" applyProtection="1">
      <alignment horizontal="left" vertical="center" wrapText="1"/>
      <protection locked="0"/>
    </xf>
    <xf numFmtId="0" fontId="5" fillId="8" borderId="12" xfId="0" applyFont="1" applyFill="1" applyBorder="1" applyAlignment="1" applyProtection="1">
      <alignment horizontal="left" vertical="center" wrapText="1"/>
      <protection locked="0"/>
    </xf>
    <xf numFmtId="0" fontId="5" fillId="33" borderId="10" xfId="0" applyFont="1" applyFill="1" applyBorder="1" applyAlignment="1" applyProtection="1">
      <alignment horizontal="center" vertical="center" wrapText="1"/>
      <protection locked="0"/>
    </xf>
    <xf numFmtId="0" fontId="5" fillId="9" borderId="10" xfId="0" applyFont="1" applyFill="1" applyBorder="1" applyAlignment="1" applyProtection="1">
      <alignment horizontal="center" vertical="center" wrapText="1"/>
      <protection/>
    </xf>
    <xf numFmtId="171" fontId="5" fillId="39" borderId="10" xfId="44" applyNumberFormat="1" applyFont="1" applyFill="1" applyBorder="1" applyAlignment="1" applyProtection="1">
      <alignment horizontal="center" vertical="center" wrapText="1"/>
      <protection locked="0"/>
    </xf>
    <xf numFmtId="0" fontId="5" fillId="39" borderId="33" xfId="0" applyFont="1" applyFill="1" applyBorder="1" applyAlignment="1" applyProtection="1">
      <alignment horizontal="center" vertical="center" wrapText="1"/>
      <protection locked="0"/>
    </xf>
    <xf numFmtId="0" fontId="5" fillId="39" borderId="30" xfId="0" applyFont="1" applyFill="1" applyBorder="1" applyAlignment="1" applyProtection="1">
      <alignment horizontal="center" vertical="center" wrapText="1"/>
      <protection locked="0"/>
    </xf>
    <xf numFmtId="0" fontId="5" fillId="39" borderId="10" xfId="0" applyFont="1" applyFill="1" applyBorder="1" applyAlignment="1" applyProtection="1">
      <alignment horizontal="center" vertical="center" wrapText="1"/>
      <protection locked="0"/>
    </xf>
    <xf numFmtId="171" fontId="5" fillId="39" borderId="34" xfId="44" applyNumberFormat="1" applyFont="1" applyFill="1" applyBorder="1" applyAlignment="1" applyProtection="1">
      <alignment horizontal="center" vertical="center" wrapText="1"/>
      <protection locked="0"/>
    </xf>
    <xf numFmtId="171" fontId="5" fillId="39" borderId="38" xfId="44" applyNumberFormat="1" applyFont="1" applyFill="1" applyBorder="1" applyAlignment="1" applyProtection="1">
      <alignment horizontal="center" vertical="center" wrapText="1"/>
      <protection locked="0"/>
    </xf>
    <xf numFmtId="171" fontId="5" fillId="39" borderId="12" xfId="44" applyNumberFormat="1" applyFont="1" applyFill="1" applyBorder="1" applyAlignment="1" applyProtection="1">
      <alignment horizontal="center" vertical="center" wrapText="1"/>
      <protection locked="0"/>
    </xf>
    <xf numFmtId="0" fontId="5" fillId="33" borderId="0" xfId="0" applyFont="1" applyFill="1" applyBorder="1" applyAlignment="1">
      <alignment horizontal="center" vertical="center" wrapText="1"/>
    </xf>
    <xf numFmtId="0" fontId="102" fillId="39" borderId="34" xfId="0" applyFont="1" applyFill="1" applyBorder="1" applyAlignment="1">
      <alignment horizontal="center" vertical="center" wrapText="1"/>
    </xf>
    <xf numFmtId="0" fontId="102" fillId="39" borderId="38" xfId="0" applyFont="1" applyFill="1" applyBorder="1" applyAlignment="1">
      <alignment horizontal="center" vertical="center" wrapText="1"/>
    </xf>
    <xf numFmtId="0" fontId="102" fillId="39" borderId="12" xfId="0" applyFont="1" applyFill="1" applyBorder="1" applyAlignment="1">
      <alignment horizontal="center" vertical="center" wrapText="1"/>
    </xf>
    <xf numFmtId="0" fontId="102" fillId="39" borderId="10" xfId="0" applyFont="1" applyFill="1" applyBorder="1" applyAlignment="1">
      <alignment horizontal="center" vertical="center" wrapText="1"/>
    </xf>
    <xf numFmtId="0" fontId="118" fillId="39" borderId="10" xfId="0" applyFont="1" applyFill="1" applyBorder="1" applyAlignment="1">
      <alignment vertical="center"/>
    </xf>
    <xf numFmtId="0" fontId="129" fillId="0" borderId="10" xfId="0" applyFont="1" applyFill="1" applyBorder="1" applyAlignment="1" applyProtection="1">
      <alignment horizontal="center" vertical="center" wrapText="1"/>
      <protection/>
    </xf>
    <xf numFmtId="0" fontId="3" fillId="0" borderId="10" xfId="0" applyFont="1" applyBorder="1" applyAlignment="1">
      <alignment horizontal="left" vertical="center" wrapText="1"/>
    </xf>
    <xf numFmtId="0" fontId="4" fillId="39" borderId="25" xfId="0" applyFont="1" applyFill="1" applyBorder="1" applyAlignment="1" applyProtection="1">
      <alignment horizontal="center" vertical="center" wrapText="1"/>
      <protection locked="0"/>
    </xf>
    <xf numFmtId="0" fontId="4" fillId="39" borderId="32" xfId="0" applyFont="1" applyFill="1" applyBorder="1" applyAlignment="1" applyProtection="1">
      <alignment horizontal="center" vertical="center" wrapText="1"/>
      <protection locked="0"/>
    </xf>
    <xf numFmtId="0" fontId="4" fillId="39" borderId="45" xfId="0" applyFont="1" applyFill="1" applyBorder="1" applyAlignment="1" applyProtection="1">
      <alignment horizontal="center" vertical="center" wrapText="1"/>
      <protection locked="0"/>
    </xf>
    <xf numFmtId="171" fontId="5" fillId="39" borderId="14" xfId="44" applyNumberFormat="1" applyFont="1" applyFill="1" applyBorder="1" applyAlignment="1" applyProtection="1">
      <alignment horizontal="center" wrapText="1"/>
      <protection locked="0"/>
    </xf>
    <xf numFmtId="171" fontId="5" fillId="39" borderId="97" xfId="44" applyNumberFormat="1" applyFont="1" applyFill="1" applyBorder="1" applyAlignment="1" applyProtection="1">
      <alignment horizontal="center" wrapText="1"/>
      <protection locked="0"/>
    </xf>
    <xf numFmtId="171" fontId="5" fillId="39" borderId="22" xfId="44" applyNumberFormat="1" applyFont="1" applyFill="1" applyBorder="1" applyAlignment="1" applyProtection="1">
      <alignment horizontal="center" wrapText="1"/>
      <protection locked="0"/>
    </xf>
    <xf numFmtId="171" fontId="5" fillId="39" borderId="10" xfId="44" applyNumberFormat="1" applyFont="1" applyFill="1" applyBorder="1" applyAlignment="1" applyProtection="1">
      <alignment horizontal="center" wrapText="1"/>
      <protection locked="0"/>
    </xf>
    <xf numFmtId="171" fontId="5" fillId="39" borderId="21" xfId="44" applyNumberFormat="1" applyFont="1" applyFill="1" applyBorder="1" applyAlignment="1" applyProtection="1">
      <alignment horizontal="center" wrapText="1"/>
      <protection locked="0"/>
    </xf>
    <xf numFmtId="171" fontId="5" fillId="39" borderId="26" xfId="44" applyNumberFormat="1" applyFont="1" applyFill="1" applyBorder="1" applyAlignment="1" applyProtection="1">
      <alignment horizontal="center" wrapText="1"/>
      <protection locked="0"/>
    </xf>
    <xf numFmtId="171" fontId="5" fillId="39" borderId="31" xfId="44" applyNumberFormat="1" applyFont="1" applyFill="1" applyBorder="1" applyAlignment="1" applyProtection="1">
      <alignment horizontal="center" wrapText="1"/>
      <protection locked="0"/>
    </xf>
    <xf numFmtId="171" fontId="4" fillId="8" borderId="105" xfId="44" applyNumberFormat="1" applyFont="1" applyFill="1" applyBorder="1" applyAlignment="1" applyProtection="1">
      <alignment horizontal="center" wrapText="1"/>
      <protection locked="0"/>
    </xf>
    <xf numFmtId="171" fontId="4" fillId="8" borderId="37" xfId="44" applyNumberFormat="1" applyFont="1" applyFill="1" applyBorder="1" applyAlignment="1" applyProtection="1">
      <alignment horizontal="center" wrapText="1"/>
      <protection locked="0"/>
    </xf>
    <xf numFmtId="171" fontId="4" fillId="8" borderId="106" xfId="44" applyNumberFormat="1" applyFont="1" applyFill="1" applyBorder="1" applyAlignment="1" applyProtection="1">
      <alignment horizontal="center" wrapText="1"/>
      <protection locked="0"/>
    </xf>
    <xf numFmtId="171" fontId="4" fillId="8" borderId="107" xfId="44" applyNumberFormat="1" applyFont="1" applyFill="1" applyBorder="1" applyAlignment="1" applyProtection="1">
      <alignment horizontal="center" wrapText="1"/>
      <protection locked="0"/>
    </xf>
    <xf numFmtId="171" fontId="4" fillId="8" borderId="0" xfId="44" applyNumberFormat="1" applyFont="1" applyFill="1" applyBorder="1" applyAlignment="1" applyProtection="1">
      <alignment horizontal="center" wrapText="1"/>
      <protection locked="0"/>
    </xf>
    <xf numFmtId="171" fontId="4" fillId="8" borderId="108" xfId="44" applyNumberFormat="1" applyFont="1" applyFill="1" applyBorder="1" applyAlignment="1" applyProtection="1">
      <alignment horizontal="center" wrapText="1"/>
      <protection locked="0"/>
    </xf>
    <xf numFmtId="171" fontId="4" fillId="8" borderId="40" xfId="44" applyNumberFormat="1" applyFont="1" applyFill="1" applyBorder="1" applyAlignment="1" applyProtection="1">
      <alignment horizontal="center" wrapText="1"/>
      <protection locked="0"/>
    </xf>
    <xf numFmtId="171" fontId="4" fillId="8" borderId="30" xfId="44" applyNumberFormat="1" applyFont="1" applyFill="1" applyBorder="1" applyAlignment="1" applyProtection="1">
      <alignment horizontal="center" wrapText="1"/>
      <protection locked="0"/>
    </xf>
    <xf numFmtId="171" fontId="4" fillId="8" borderId="41" xfId="44" applyNumberFormat="1" applyFont="1" applyFill="1" applyBorder="1" applyAlignment="1" applyProtection="1">
      <alignment horizontal="center" wrapText="1"/>
      <protection locked="0"/>
    </xf>
    <xf numFmtId="0" fontId="4" fillId="39" borderId="20" xfId="0" applyFont="1" applyFill="1" applyBorder="1" applyAlignment="1" applyProtection="1">
      <alignment horizontal="center" vertical="center" wrapText="1"/>
      <protection locked="0"/>
    </xf>
    <xf numFmtId="0" fontId="4" fillId="39" borderId="18" xfId="0" applyFont="1" applyFill="1" applyBorder="1" applyAlignment="1" applyProtection="1">
      <alignment horizontal="center" vertical="center" wrapText="1"/>
      <protection locked="0"/>
    </xf>
    <xf numFmtId="0" fontId="4" fillId="39" borderId="42" xfId="0" applyFont="1" applyFill="1" applyBorder="1" applyAlignment="1" applyProtection="1">
      <alignment horizontal="center" vertical="center" wrapText="1"/>
      <protection locked="0"/>
    </xf>
    <xf numFmtId="0" fontId="4" fillId="39" borderId="44" xfId="0" applyFont="1" applyFill="1" applyBorder="1" applyAlignment="1" applyProtection="1">
      <alignment horizontal="center" vertical="center" wrapText="1"/>
      <protection locked="0"/>
    </xf>
    <xf numFmtId="0" fontId="4" fillId="39" borderId="35" xfId="0" applyFont="1" applyFill="1" applyBorder="1" applyAlignment="1" applyProtection="1">
      <alignment horizontal="center" vertical="center" wrapText="1"/>
      <protection locked="0"/>
    </xf>
    <xf numFmtId="0" fontId="4" fillId="39" borderId="28" xfId="0" applyFont="1" applyFill="1" applyBorder="1" applyAlignment="1" applyProtection="1">
      <alignment horizontal="center" vertical="center" wrapText="1"/>
      <protection locked="0"/>
    </xf>
    <xf numFmtId="0" fontId="10" fillId="33" borderId="24" xfId="0" applyFont="1" applyFill="1" applyBorder="1" applyAlignment="1">
      <alignment horizontal="center" wrapText="1"/>
    </xf>
    <xf numFmtId="0" fontId="4" fillId="39" borderId="96" xfId="0" applyFont="1" applyFill="1" applyBorder="1" applyAlignment="1" applyProtection="1">
      <alignment horizontal="center" vertical="center" wrapText="1"/>
      <protection locked="0"/>
    </xf>
    <xf numFmtId="0" fontId="4" fillId="39" borderId="46" xfId="0" applyFont="1" applyFill="1" applyBorder="1" applyAlignment="1" applyProtection="1">
      <alignment horizontal="center" vertical="center" wrapText="1"/>
      <protection locked="0"/>
    </xf>
    <xf numFmtId="0" fontId="4" fillId="39" borderId="27" xfId="0" applyFont="1" applyFill="1" applyBorder="1" applyAlignment="1" applyProtection="1">
      <alignment horizontal="center" vertical="center" wrapText="1"/>
      <protection locked="0"/>
    </xf>
    <xf numFmtId="0" fontId="11" fillId="0" borderId="31" xfId="0" applyFont="1" applyFill="1" applyBorder="1" applyAlignment="1" applyProtection="1">
      <alignment horizontal="center" vertical="top" wrapText="1"/>
      <protection/>
    </xf>
    <xf numFmtId="0" fontId="11" fillId="0" borderId="36" xfId="0" applyFont="1" applyFill="1" applyBorder="1" applyAlignment="1" applyProtection="1">
      <alignment horizontal="center" vertical="top" wrapText="1"/>
      <protection/>
    </xf>
    <xf numFmtId="0" fontId="4" fillId="8" borderId="33" xfId="0" applyFont="1" applyFill="1" applyBorder="1" applyAlignment="1" applyProtection="1">
      <alignment horizontal="left" vertical="center" wrapText="1"/>
      <protection locked="0"/>
    </xf>
    <xf numFmtId="0" fontId="4" fillId="8" borderId="109" xfId="0" applyFont="1" applyFill="1" applyBorder="1" applyAlignment="1" applyProtection="1">
      <alignment horizontal="left" vertical="center" wrapText="1"/>
      <protection locked="0"/>
    </xf>
    <xf numFmtId="0" fontId="11" fillId="0" borderId="10" xfId="0" applyFont="1" applyFill="1" applyBorder="1" applyAlignment="1" applyProtection="1">
      <alignment horizontal="left" vertical="top" wrapText="1"/>
      <protection/>
    </xf>
    <xf numFmtId="172" fontId="12" fillId="0" borderId="31" xfId="44" applyNumberFormat="1" applyFont="1" applyFill="1" applyBorder="1" applyAlignment="1" applyProtection="1">
      <alignment horizontal="center" vertical="center" wrapText="1"/>
      <protection/>
    </xf>
    <xf numFmtId="172" fontId="12" fillId="0" borderId="36" xfId="44" applyNumberFormat="1"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top" wrapText="1"/>
      <protection/>
    </xf>
    <xf numFmtId="0" fontId="12" fillId="0" borderId="10" xfId="58"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protection locked="0"/>
    </xf>
    <xf numFmtId="0" fontId="12" fillId="0" borderId="31" xfId="58" applyFont="1" applyFill="1" applyBorder="1" applyAlignment="1" applyProtection="1">
      <alignment horizontal="center" vertical="center" wrapText="1"/>
      <protection/>
    </xf>
    <xf numFmtId="0" fontId="12" fillId="0" borderId="36" xfId="58" applyFont="1" applyFill="1" applyBorder="1" applyAlignment="1" applyProtection="1">
      <alignment horizontal="center" vertical="center" wrapText="1"/>
      <protection/>
    </xf>
    <xf numFmtId="0" fontId="11" fillId="0" borderId="31" xfId="0" applyFont="1" applyFill="1" applyBorder="1" applyAlignment="1" applyProtection="1">
      <alignment horizontal="left" vertical="top" wrapText="1"/>
      <protection/>
    </xf>
    <xf numFmtId="0" fontId="11" fillId="0" borderId="36" xfId="0" applyFont="1" applyFill="1" applyBorder="1" applyAlignment="1" applyProtection="1">
      <alignment horizontal="left" vertical="top" wrapText="1"/>
      <protection/>
    </xf>
    <xf numFmtId="0" fontId="12" fillId="0" borderId="26" xfId="58" applyFont="1" applyFill="1" applyBorder="1" applyAlignment="1" applyProtection="1">
      <alignment horizontal="center" vertical="center" wrapText="1"/>
      <protection/>
    </xf>
    <xf numFmtId="0" fontId="4" fillId="8" borderId="0" xfId="0" applyFont="1" applyFill="1" applyBorder="1" applyAlignment="1" applyProtection="1">
      <alignment horizontal="left" vertical="center" wrapText="1"/>
      <protection locked="0"/>
    </xf>
    <xf numFmtId="0" fontId="4" fillId="8" borderId="44" xfId="0" applyFont="1" applyFill="1" applyBorder="1" applyAlignment="1" applyProtection="1">
      <alignment horizontal="left" vertical="center" wrapText="1"/>
      <protection locked="0"/>
    </xf>
    <xf numFmtId="0" fontId="11" fillId="0" borderId="26" xfId="0" applyFont="1" applyFill="1" applyBorder="1" applyAlignment="1" applyProtection="1">
      <alignment horizontal="left" vertical="top" wrapText="1"/>
      <protection/>
    </xf>
    <xf numFmtId="0" fontId="16" fillId="8" borderId="10" xfId="0" applyFont="1" applyFill="1" applyBorder="1" applyAlignment="1" applyProtection="1">
      <alignment horizontal="center" vertical="center" wrapText="1"/>
      <protection locked="0"/>
    </xf>
    <xf numFmtId="0" fontId="16" fillId="8" borderId="34" xfId="0" applyFont="1" applyFill="1" applyBorder="1" applyAlignment="1" applyProtection="1">
      <alignment horizontal="center" vertical="top" wrapText="1"/>
      <protection locked="0"/>
    </xf>
    <xf numFmtId="0" fontId="16" fillId="8" borderId="38" xfId="0" applyFont="1" applyFill="1" applyBorder="1" applyAlignment="1" applyProtection="1">
      <alignment horizontal="center" vertical="top" wrapText="1"/>
      <protection locked="0"/>
    </xf>
    <xf numFmtId="0" fontId="16" fillId="8" borderId="12" xfId="0" applyFont="1" applyFill="1" applyBorder="1" applyAlignment="1" applyProtection="1">
      <alignment horizontal="center" vertical="top" wrapText="1"/>
      <protection locked="0"/>
    </xf>
    <xf numFmtId="0" fontId="16" fillId="33" borderId="13" xfId="0" applyFont="1" applyFill="1" applyBorder="1" applyAlignment="1" applyProtection="1">
      <alignment horizontal="center" vertical="center" wrapText="1"/>
      <protection locked="0"/>
    </xf>
    <xf numFmtId="0" fontId="16" fillId="8" borderId="31" xfId="0" applyFont="1" applyFill="1" applyBorder="1" applyAlignment="1" applyProtection="1">
      <alignment horizontal="center" vertical="center" wrapText="1"/>
      <protection locked="0"/>
    </xf>
    <xf numFmtId="0" fontId="16" fillId="8" borderId="13" xfId="0" applyFont="1" applyFill="1" applyBorder="1" applyAlignment="1" applyProtection="1">
      <alignment horizontal="center" vertical="center" wrapText="1"/>
      <protection locked="0"/>
    </xf>
    <xf numFmtId="171" fontId="16" fillId="8" borderId="34" xfId="42" applyNumberFormat="1" applyFont="1" applyFill="1" applyBorder="1" applyAlignment="1" applyProtection="1">
      <alignment horizontal="center" wrapText="1"/>
      <protection locked="0"/>
    </xf>
    <xf numFmtId="171" fontId="16" fillId="8" borderId="38" xfId="42" applyNumberFormat="1" applyFont="1" applyFill="1" applyBorder="1" applyAlignment="1" applyProtection="1">
      <alignment horizontal="center" wrapText="1"/>
      <protection locked="0"/>
    </xf>
    <xf numFmtId="171" fontId="16" fillId="8" borderId="12" xfId="42" applyNumberFormat="1" applyFont="1" applyFill="1" applyBorder="1" applyAlignment="1" applyProtection="1">
      <alignment horizontal="center" wrapText="1"/>
      <protection locked="0"/>
    </xf>
    <xf numFmtId="171" fontId="16" fillId="39" borderId="26" xfId="42" applyNumberFormat="1" applyFont="1" applyFill="1" applyBorder="1" applyAlignment="1" applyProtection="1">
      <alignment horizontal="center" wrapText="1"/>
      <protection locked="0"/>
    </xf>
    <xf numFmtId="171" fontId="16" fillId="39" borderId="31" xfId="42" applyNumberFormat="1" applyFont="1" applyFill="1" applyBorder="1" applyAlignment="1" applyProtection="1">
      <alignment horizontal="center" wrapText="1"/>
      <protection locked="0"/>
    </xf>
    <xf numFmtId="171" fontId="16" fillId="39" borderId="106" xfId="42" applyNumberFormat="1" applyFont="1" applyFill="1" applyBorder="1" applyAlignment="1" applyProtection="1">
      <alignment horizontal="center" wrapText="1"/>
      <protection locked="0"/>
    </xf>
    <xf numFmtId="171" fontId="16" fillId="39" borderId="108" xfId="42" applyNumberFormat="1" applyFont="1" applyFill="1" applyBorder="1" applyAlignment="1" applyProtection="1">
      <alignment horizontal="center" wrapText="1"/>
      <protection locked="0"/>
    </xf>
    <xf numFmtId="171" fontId="16" fillId="39" borderId="35" xfId="42" applyNumberFormat="1" applyFont="1" applyFill="1" applyBorder="1" applyAlignment="1" applyProtection="1">
      <alignment horizontal="center" wrapText="1"/>
      <protection locked="0"/>
    </xf>
    <xf numFmtId="171" fontId="16" fillId="39" borderId="30" xfId="42" applyNumberFormat="1" applyFont="1" applyFill="1" applyBorder="1" applyAlignment="1" applyProtection="1">
      <alignment horizontal="center" wrapText="1"/>
      <protection locked="0"/>
    </xf>
    <xf numFmtId="171" fontId="16" fillId="39" borderId="41" xfId="42" applyNumberFormat="1" applyFont="1" applyFill="1" applyBorder="1" applyAlignment="1" applyProtection="1">
      <alignment horizontal="center" wrapText="1"/>
      <protection locked="0"/>
    </xf>
    <xf numFmtId="0" fontId="16" fillId="8" borderId="25" xfId="0" applyFont="1" applyFill="1" applyBorder="1" applyAlignment="1" applyProtection="1">
      <alignment horizontal="center" vertical="center" wrapText="1"/>
      <protection locked="0"/>
    </xf>
    <xf numFmtId="0" fontId="16" fillId="8" borderId="32" xfId="0" applyFont="1" applyFill="1" applyBorder="1" applyAlignment="1" applyProtection="1">
      <alignment horizontal="center" vertical="center" wrapText="1"/>
      <protection locked="0"/>
    </xf>
    <xf numFmtId="0" fontId="16" fillId="8" borderId="45" xfId="0" applyFont="1" applyFill="1" applyBorder="1" applyAlignment="1" applyProtection="1">
      <alignment horizontal="center" vertical="center" wrapText="1"/>
      <protection locked="0"/>
    </xf>
    <xf numFmtId="0" fontId="16" fillId="8" borderId="20" xfId="0" applyFont="1" applyFill="1" applyBorder="1" applyAlignment="1" applyProtection="1">
      <alignment horizontal="center" vertical="center" wrapText="1"/>
      <protection locked="0"/>
    </xf>
    <xf numFmtId="0" fontId="16" fillId="8" borderId="18" xfId="0" applyFont="1" applyFill="1" applyBorder="1" applyAlignment="1" applyProtection="1">
      <alignment horizontal="center" vertical="center" wrapText="1"/>
      <protection locked="0"/>
    </xf>
    <xf numFmtId="0" fontId="16" fillId="8" borderId="42" xfId="0" applyFont="1" applyFill="1" applyBorder="1" applyAlignment="1" applyProtection="1">
      <alignment horizontal="center" vertical="center" wrapText="1"/>
      <protection locked="0"/>
    </xf>
    <xf numFmtId="0" fontId="16" fillId="8" borderId="44" xfId="0" applyFont="1" applyFill="1" applyBorder="1" applyAlignment="1" applyProtection="1">
      <alignment horizontal="center" vertical="center" wrapText="1"/>
      <protection locked="0"/>
    </xf>
    <xf numFmtId="0" fontId="16" fillId="8" borderId="35" xfId="0" applyFont="1" applyFill="1" applyBorder="1" applyAlignment="1" applyProtection="1">
      <alignment horizontal="center" vertical="center" wrapText="1"/>
      <protection locked="0"/>
    </xf>
    <xf numFmtId="0" fontId="16" fillId="8" borderId="28" xfId="0" applyFont="1" applyFill="1" applyBorder="1" applyAlignment="1" applyProtection="1">
      <alignment horizontal="center" vertical="center" wrapText="1"/>
      <protection locked="0"/>
    </xf>
    <xf numFmtId="0" fontId="16" fillId="8" borderId="20" xfId="0" applyFont="1" applyFill="1" applyBorder="1" applyAlignment="1" applyProtection="1">
      <alignment horizontal="center" wrapText="1"/>
      <protection locked="0"/>
    </xf>
    <xf numFmtId="0" fontId="16" fillId="8" borderId="33" xfId="0" applyFont="1" applyFill="1" applyBorder="1" applyAlignment="1" applyProtection="1">
      <alignment horizontal="center" wrapText="1"/>
      <protection locked="0"/>
    </xf>
    <xf numFmtId="0" fontId="16" fillId="8" borderId="18" xfId="0" applyFont="1" applyFill="1" applyBorder="1" applyAlignment="1" applyProtection="1">
      <alignment horizontal="center" wrapText="1"/>
      <protection locked="0"/>
    </xf>
    <xf numFmtId="0" fontId="16" fillId="8" borderId="35" xfId="0" applyFont="1" applyFill="1" applyBorder="1" applyAlignment="1" applyProtection="1">
      <alignment horizontal="center" wrapText="1"/>
      <protection locked="0"/>
    </xf>
    <xf numFmtId="0" fontId="16" fillId="8" borderId="30" xfId="0" applyFont="1" applyFill="1" applyBorder="1" applyAlignment="1" applyProtection="1">
      <alignment horizontal="center" wrapText="1"/>
      <protection locked="0"/>
    </xf>
    <xf numFmtId="0" fontId="16" fillId="8" borderId="28" xfId="0" applyFont="1" applyFill="1" applyBorder="1" applyAlignment="1" applyProtection="1">
      <alignment horizontal="center" wrapText="1"/>
      <protection locked="0"/>
    </xf>
    <xf numFmtId="171" fontId="16" fillId="8" borderId="34" xfId="42" applyNumberFormat="1" applyFont="1" applyFill="1" applyBorder="1" applyAlignment="1" applyProtection="1">
      <alignment horizontal="center" vertical="center" wrapText="1"/>
      <protection locked="0"/>
    </xf>
    <xf numFmtId="171" fontId="16" fillId="8" borderId="38" xfId="42" applyNumberFormat="1" applyFont="1" applyFill="1" applyBorder="1" applyAlignment="1" applyProtection="1">
      <alignment horizontal="center" vertical="center" wrapText="1"/>
      <protection locked="0"/>
    </xf>
    <xf numFmtId="171" fontId="16" fillId="8" borderId="12" xfId="42" applyNumberFormat="1" applyFont="1" applyFill="1" applyBorder="1" applyAlignment="1" applyProtection="1">
      <alignment horizontal="center" vertical="center" wrapText="1"/>
      <protection locked="0"/>
    </xf>
    <xf numFmtId="0" fontId="16" fillId="8" borderId="96" xfId="0" applyFont="1" applyFill="1" applyBorder="1" applyAlignment="1" applyProtection="1">
      <alignment horizontal="center" vertical="center" wrapText="1"/>
      <protection locked="0"/>
    </xf>
    <xf numFmtId="0" fontId="16" fillId="8" borderId="46" xfId="0" applyFont="1" applyFill="1" applyBorder="1" applyAlignment="1" applyProtection="1">
      <alignment horizontal="center" vertical="center" wrapText="1"/>
      <protection locked="0"/>
    </xf>
    <xf numFmtId="0" fontId="16" fillId="8" borderId="27" xfId="0" applyFont="1" applyFill="1" applyBorder="1" applyAlignment="1" applyProtection="1">
      <alignment horizontal="center" vertical="center" wrapText="1"/>
      <protection locked="0"/>
    </xf>
    <xf numFmtId="0" fontId="107" fillId="8" borderId="97" xfId="0" applyFont="1" applyFill="1" applyBorder="1" applyAlignment="1">
      <alignment horizontal="center" vertical="center" wrapText="1"/>
    </xf>
    <xf numFmtId="0" fontId="107" fillId="8" borderId="46" xfId="0" applyFont="1" applyFill="1" applyBorder="1" applyAlignment="1">
      <alignment horizontal="center" vertical="center" wrapText="1"/>
    </xf>
    <xf numFmtId="0" fontId="107" fillId="8" borderId="27" xfId="0" applyFont="1" applyFill="1" applyBorder="1" applyAlignment="1">
      <alignment horizontal="center" vertical="center" wrapText="1"/>
    </xf>
    <xf numFmtId="0" fontId="16" fillId="8" borderId="34" xfId="0" applyFont="1" applyFill="1" applyBorder="1" applyAlignment="1" applyProtection="1">
      <alignment horizontal="left" vertical="center" wrapText="1"/>
      <protection locked="0"/>
    </xf>
    <xf numFmtId="0" fontId="16" fillId="8" borderId="38" xfId="0" applyFont="1" applyFill="1" applyBorder="1" applyAlignment="1" applyProtection="1">
      <alignment horizontal="left" vertical="center" wrapText="1"/>
      <protection locked="0"/>
    </xf>
    <xf numFmtId="0" fontId="16" fillId="8" borderId="12" xfId="0" applyFont="1" applyFill="1" applyBorder="1" applyAlignment="1" applyProtection="1">
      <alignment horizontal="left" vertical="center" wrapText="1"/>
      <protection locked="0"/>
    </xf>
    <xf numFmtId="0" fontId="11" fillId="33" borderId="19" xfId="0" applyFont="1" applyFill="1" applyBorder="1" applyAlignment="1" applyProtection="1">
      <alignment horizontal="center" vertical="center" wrapText="1"/>
      <protection locked="0"/>
    </xf>
    <xf numFmtId="0" fontId="11" fillId="33" borderId="13" xfId="0" applyFont="1" applyFill="1" applyBorder="1" applyAlignment="1" applyProtection="1">
      <alignment horizontal="center" vertical="center" wrapText="1"/>
      <protection locked="0"/>
    </xf>
    <xf numFmtId="171" fontId="16" fillId="39" borderId="28" xfId="42" applyNumberFormat="1" applyFont="1" applyFill="1" applyBorder="1" applyAlignment="1" applyProtection="1">
      <alignment horizontal="center" wrapText="1"/>
      <protection locked="0"/>
    </xf>
    <xf numFmtId="0" fontId="16" fillId="39" borderId="13" xfId="0" applyFont="1" applyFill="1" applyBorder="1" applyAlignment="1" applyProtection="1">
      <alignment horizontal="center" vertical="center" wrapText="1"/>
      <protection locked="0"/>
    </xf>
    <xf numFmtId="0" fontId="16" fillId="8" borderId="38" xfId="0" applyFont="1" applyFill="1" applyBorder="1" applyAlignment="1" applyProtection="1">
      <alignment horizontal="left" vertical="center" wrapText="1"/>
      <protection/>
    </xf>
    <xf numFmtId="0" fontId="16" fillId="8" borderId="12" xfId="0" applyFont="1" applyFill="1" applyBorder="1" applyAlignment="1" applyProtection="1">
      <alignment horizontal="left" vertical="center" wrapText="1"/>
      <protection/>
    </xf>
    <xf numFmtId="0" fontId="16" fillId="33" borderId="18" xfId="0" applyFont="1" applyFill="1" applyBorder="1" applyAlignment="1" applyProtection="1">
      <alignment horizontal="center" vertical="center" wrapText="1"/>
      <protection locked="0"/>
    </xf>
    <xf numFmtId="0" fontId="16" fillId="33" borderId="28" xfId="0" applyFont="1" applyFill="1" applyBorder="1" applyAlignment="1" applyProtection="1">
      <alignment horizontal="center" vertical="center" wrapText="1"/>
      <protection locked="0"/>
    </xf>
    <xf numFmtId="0" fontId="16" fillId="33" borderId="20" xfId="0" applyFont="1" applyFill="1" applyBorder="1" applyAlignment="1" applyProtection="1">
      <alignment horizontal="center" vertical="center" wrapText="1"/>
      <protection locked="0"/>
    </xf>
    <xf numFmtId="0" fontId="16" fillId="33" borderId="42" xfId="0" applyFont="1" applyFill="1" applyBorder="1" applyAlignment="1" applyProtection="1">
      <alignment horizontal="center" vertical="center" wrapText="1"/>
      <protection locked="0"/>
    </xf>
    <xf numFmtId="0" fontId="18" fillId="8" borderId="34" xfId="0" applyFont="1" applyFill="1" applyBorder="1" applyAlignment="1" applyProtection="1">
      <alignment horizontal="center" vertical="center" wrapText="1"/>
      <protection locked="0"/>
    </xf>
    <xf numFmtId="0" fontId="18" fillId="8" borderId="38" xfId="0" applyFont="1" applyFill="1" applyBorder="1" applyAlignment="1" applyProtection="1">
      <alignment horizontal="center" vertical="center" wrapText="1"/>
      <protection locked="0"/>
    </xf>
    <xf numFmtId="0" fontId="18" fillId="8" borderId="12" xfId="0" applyFont="1" applyFill="1" applyBorder="1" applyAlignment="1" applyProtection="1">
      <alignment horizontal="center" vertical="center" wrapText="1"/>
      <protection locked="0"/>
    </xf>
    <xf numFmtId="0" fontId="16" fillId="33" borderId="44" xfId="0" applyFont="1" applyFill="1" applyBorder="1" applyAlignment="1" applyProtection="1">
      <alignment horizontal="center" vertical="center" wrapText="1"/>
      <protection locked="0"/>
    </xf>
    <xf numFmtId="0" fontId="121" fillId="0" borderId="0" xfId="0" applyFont="1" applyAlignment="1">
      <alignment horizontal="left" indent="5"/>
    </xf>
    <xf numFmtId="0" fontId="120" fillId="0" borderId="0" xfId="0" applyFont="1" applyAlignment="1">
      <alignment horizontal="left" indent="5"/>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4" xfId="58"/>
    <cellStyle name="Normal 4 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4"/>
          <c:y val="0.102"/>
          <c:w val="0.433"/>
          <c:h val="0.783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dLbls>
            <c:numFmt formatCode="General" sourceLinked="1"/>
            <c:dLblPos val="outEnd"/>
            <c:showLegendKey val="0"/>
            <c:showVal val="0"/>
            <c:showBubbleSize val="0"/>
            <c:showCatName val="0"/>
            <c:showSerName val="0"/>
            <c:showLeaderLines val="1"/>
            <c:showPercent val="1"/>
          </c:dLbls>
          <c:cat>
            <c:strRef>
              <c:f>Summary!$B$7:$B$17</c:f>
              <c:strCache/>
            </c:strRef>
          </c:cat>
          <c:val>
            <c:numRef>
              <c:f>Summary!$C$7:$C$17</c:f>
              <c:numCache/>
            </c:numRef>
          </c:val>
        </c:ser>
      </c:pieChart>
      <c:spPr>
        <a:noFill/>
        <a:ln>
          <a:noFill/>
        </a:ln>
      </c:spPr>
    </c:plotArea>
    <c:legend>
      <c:legendPos val="r"/>
      <c:layout>
        <c:manualLayout>
          <c:xMode val="edge"/>
          <c:yMode val="edge"/>
          <c:x val="0.81325"/>
          <c:y val="0.02475"/>
          <c:w val="0.1635"/>
          <c:h val="0.926"/>
        </c:manualLayout>
      </c:layout>
      <c:overlay val="0"/>
      <c:spPr>
        <a:noFill/>
        <a:ln w="3175">
          <a:noFill/>
        </a:ln>
      </c:spPr>
      <c:txPr>
        <a:bodyPr vert="horz" rot="0"/>
        <a:lstStyle/>
        <a:p>
          <a:pPr>
            <a:defRPr lang="en-US" cap="none" sz="775" b="0" i="0" u="none" baseline="0">
              <a:solidFill>
                <a:srgbClr val="000000"/>
              </a:solidFill>
              <a:latin typeface="Calibri"/>
              <a:ea typeface="Calibri"/>
              <a:cs typeface="Calibri"/>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225"/>
          <c:y val="0.107"/>
          <c:w val="0.33225"/>
          <c:h val="0.77"/>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Lbls>
            <c:numFmt formatCode="General" sourceLinked="1"/>
            <c:dLblPos val="outEnd"/>
            <c:showLegendKey val="0"/>
            <c:showVal val="0"/>
            <c:showBubbleSize val="0"/>
            <c:showCatName val="0"/>
            <c:showSerName val="0"/>
            <c:showLeaderLines val="0"/>
            <c:showPercent val="1"/>
          </c:dLbls>
          <c:cat>
            <c:strRef>
              <c:f>Summary!$B$24:$B$29</c:f>
              <c:strCache/>
            </c:strRef>
          </c:cat>
          <c:val>
            <c:numRef>
              <c:f>Summary!$C$24:$C$29</c:f>
              <c:numCache/>
            </c:numRef>
          </c:val>
        </c:ser>
      </c:pieChart>
      <c:spPr>
        <a:noFill/>
        <a:ln>
          <a:noFill/>
        </a:ln>
      </c:spPr>
    </c:plotArea>
    <c:legend>
      <c:legendPos val="r"/>
      <c:layout>
        <c:manualLayout>
          <c:xMode val="edge"/>
          <c:yMode val="edge"/>
          <c:x val="0.6425"/>
          <c:y val="0.022"/>
          <c:w val="0.33275"/>
          <c:h val="0.94725"/>
        </c:manualLayout>
      </c:layout>
      <c:overlay val="0"/>
      <c:spPr>
        <a:noFill/>
        <a:ln w="3175">
          <a:noFill/>
        </a:ln>
      </c:spPr>
      <c:txPr>
        <a:bodyPr vert="horz" rot="0"/>
        <a:lstStyle/>
        <a:p>
          <a:pPr>
            <a:defRPr lang="en-US" cap="none" sz="775" b="0" i="0" u="none" baseline="0">
              <a:solidFill>
                <a:srgbClr val="000000"/>
              </a:solidFill>
              <a:latin typeface="Calibri"/>
              <a:ea typeface="Calibri"/>
              <a:cs typeface="Calibri"/>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62"/>
      <c:rotY val="20"/>
      <c:depthPercent val="100"/>
      <c:rAngAx val="1"/>
    </c:view3D>
    <c:plotArea>
      <c:layout>
        <c:manualLayout>
          <c:xMode val="edge"/>
          <c:yMode val="edge"/>
          <c:x val="0.0015"/>
          <c:y val="0.007"/>
          <c:w val="0.80425"/>
          <c:h val="0.91275"/>
        </c:manualLayout>
      </c:layout>
      <c:bar3DChart>
        <c:barDir val="col"/>
        <c:grouping val="percentStacked"/>
        <c:varyColors val="0"/>
        <c:ser>
          <c:idx val="0"/>
          <c:order val="0"/>
          <c:tx>
            <c:strRef>
              <c:f>Summary!$C$35</c:f>
              <c:strCache>
                <c:ptCount val="1"/>
                <c:pt idx="0">
                  <c:v>Salary fund for additional staff  </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Summary!$B$44:$B$49</c:f>
              <c:strCache/>
            </c:strRef>
          </c:cat>
          <c:val>
            <c:numRef>
              <c:f>Summary!$C$44:$C$49</c:f>
              <c:numCache/>
            </c:numRef>
          </c:val>
          <c:shape val="box"/>
        </c:ser>
        <c:ser>
          <c:idx val="1"/>
          <c:order val="1"/>
          <c:tx>
            <c:strRef>
              <c:f>Summary!$D$35</c:f>
              <c:strCache>
                <c:ptCount val="1"/>
                <c:pt idx="0">
                  <c:v>Expenses for conferences/seminars and training   </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Summary!$B$44:$B$49</c:f>
              <c:strCache/>
            </c:strRef>
          </c:cat>
          <c:val>
            <c:numRef>
              <c:f>Summary!$D$44:$D$49</c:f>
              <c:numCache/>
            </c:numRef>
          </c:val>
          <c:shape val="box"/>
        </c:ser>
        <c:ser>
          <c:idx val="2"/>
          <c:order val="2"/>
          <c:tx>
            <c:strRef>
              <c:f>Summary!$E$35</c:f>
              <c:strCache>
                <c:ptCount val="1"/>
                <c:pt idx="0">
                  <c:v>Expertise (local and foreign)</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Summary!$B$44:$B$49</c:f>
              <c:strCache/>
            </c:strRef>
          </c:cat>
          <c:val>
            <c:numRef>
              <c:f>Summary!$E$44:$E$49</c:f>
              <c:numCache/>
            </c:numRef>
          </c:val>
          <c:shape val="box"/>
        </c:ser>
        <c:ser>
          <c:idx val="3"/>
          <c:order val="3"/>
          <c:tx>
            <c:strRef>
              <c:f>Summary!$F$35</c:f>
              <c:strCache>
                <c:ptCount val="1"/>
                <c:pt idx="0">
                  <c:v>Public information expenses (publications)   </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Summary!$B$44:$B$49</c:f>
              <c:strCache/>
            </c:strRef>
          </c:cat>
          <c:val>
            <c:numRef>
              <c:f>Summary!$F$44:$F$49</c:f>
              <c:numCache/>
            </c:numRef>
          </c:val>
          <c:shape val="box"/>
        </c:ser>
        <c:ser>
          <c:idx val="4"/>
          <c:order val="4"/>
          <c:tx>
            <c:strRef>
              <c:f>Summary!$G$35</c:f>
              <c:strCache>
                <c:ptCount val="1"/>
                <c:pt idx="0">
                  <c:v>Buildings </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Summary!$B$44:$B$49</c:f>
              <c:strCache/>
            </c:strRef>
          </c:cat>
          <c:val>
            <c:numRef>
              <c:f>Summary!$G$44:$G$49</c:f>
              <c:numCache/>
            </c:numRef>
          </c:val>
          <c:shape val="box"/>
        </c:ser>
        <c:ser>
          <c:idx val="5"/>
          <c:order val="5"/>
          <c:tx>
            <c:strRef>
              <c:f>Summary!$H$35</c:f>
              <c:strCache>
                <c:ptCount val="1"/>
                <c:pt idx="0">
                  <c:v>Computer software </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Summary!$B$44:$B$49</c:f>
              <c:strCache/>
            </c:strRef>
          </c:cat>
          <c:val>
            <c:numRef>
              <c:f>Summary!$H$44:$H$49</c:f>
              <c:numCache/>
            </c:numRef>
          </c:val>
          <c:shape val="box"/>
        </c:ser>
        <c:ser>
          <c:idx val="6"/>
          <c:order val="6"/>
          <c:tx>
            <c:strRef>
              <c:f>Summary!$I$35</c:f>
              <c:strCache>
                <c:ptCount val="1"/>
                <c:pt idx="0">
                  <c:v>Computer hardware</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Summary!$B$44:$B$49</c:f>
              <c:strCache/>
            </c:strRef>
          </c:cat>
          <c:val>
            <c:numRef>
              <c:f>Summary!$I$44:$I$49</c:f>
              <c:numCache/>
            </c:numRef>
          </c:val>
          <c:shape val="box"/>
        </c:ser>
        <c:ser>
          <c:idx val="7"/>
          <c:order val="7"/>
          <c:tx>
            <c:strRef>
              <c:f>Summary!$J$35</c:f>
              <c:strCache>
                <c:ptCount val="1"/>
                <c:pt idx="0">
                  <c:v>Office supplies </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Summary!$B$44:$B$49</c:f>
              <c:strCache/>
            </c:strRef>
          </c:cat>
          <c:val>
            <c:numRef>
              <c:f>Summary!$J$44:$J$49</c:f>
              <c:numCache/>
            </c:numRef>
          </c:val>
          <c:shape val="box"/>
        </c:ser>
        <c:ser>
          <c:idx val="8"/>
          <c:order val="8"/>
          <c:tx>
            <c:strRef>
              <c:f>Summary!$K$35</c:f>
              <c:strCache>
                <c:ptCount val="1"/>
                <c:pt idx="0">
                  <c:v>Other expenses and maintenance </c:v>
                </c:pt>
              </c:strCache>
            </c:strRef>
          </c:tx>
          <c:spPr>
            <a:solidFill>
              <a:srgbClr val="B9CD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Summary!$B$44:$B$49</c:f>
              <c:strCache/>
            </c:strRef>
          </c:cat>
          <c:val>
            <c:numRef>
              <c:f>Summary!$K$44:$K$49</c:f>
              <c:numCache/>
            </c:numRef>
          </c:val>
          <c:shape val="box"/>
        </c:ser>
        <c:overlap val="100"/>
        <c:shape val="box"/>
        <c:axId val="266609"/>
        <c:axId val="2399482"/>
      </c:bar3DChart>
      <c:catAx>
        <c:axId val="266609"/>
        <c:scaling>
          <c:orientation val="minMax"/>
        </c:scaling>
        <c:axPos val="b"/>
        <c:delete val="0"/>
        <c:numFmt formatCode="General" sourceLinked="1"/>
        <c:majorTickMark val="out"/>
        <c:minorTickMark val="none"/>
        <c:tickLblPos val="nextTo"/>
        <c:spPr>
          <a:ln w="3175">
            <a:solidFill>
              <a:srgbClr val="808080"/>
            </a:solidFill>
          </a:ln>
        </c:spPr>
        <c:crossAx val="2399482"/>
        <c:crosses val="autoZero"/>
        <c:auto val="1"/>
        <c:lblOffset val="100"/>
        <c:tickLblSkip val="1"/>
        <c:noMultiLvlLbl val="0"/>
      </c:catAx>
      <c:valAx>
        <c:axId val="239948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6609"/>
        <c:crossesAt val="1"/>
        <c:crossBetween val="between"/>
        <c:dispUnits/>
      </c:valAx>
      <c:spPr>
        <a:noFill/>
        <a:ln>
          <a:noFill/>
        </a:ln>
      </c:spPr>
    </c:plotArea>
    <c:legend>
      <c:legendPos val="r"/>
      <c:layout>
        <c:manualLayout>
          <c:xMode val="edge"/>
          <c:yMode val="edge"/>
          <c:x val="0.73775"/>
          <c:y val="0.32025"/>
          <c:w val="0.25875"/>
          <c:h val="0.35375"/>
        </c:manualLayout>
      </c:layout>
      <c:overlay val="0"/>
      <c:spPr>
        <a:noFill/>
        <a:ln w="3175">
          <a:noFill/>
        </a:ln>
      </c:spPr>
      <c:txPr>
        <a:bodyPr vert="horz" rot="0"/>
        <a:lstStyle/>
        <a:p>
          <a:pPr>
            <a:defRPr lang="en-US" cap="none" sz="690" b="0" i="0" u="none" baseline="0">
              <a:solidFill>
                <a:srgbClr val="000000"/>
              </a:solidFill>
              <a:latin typeface="Calibri"/>
              <a:ea typeface="Calibri"/>
              <a:cs typeface="Calibri"/>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75"/>
      <c:hPercent val="100"/>
      <c:rotY val="0"/>
      <c:depthPercent val="100"/>
      <c:rAngAx val="1"/>
    </c:view3D>
    <c:plotArea>
      <c:layout>
        <c:manualLayout>
          <c:xMode val="edge"/>
          <c:yMode val="edge"/>
          <c:x val="0.3165"/>
          <c:y val="0.10325"/>
          <c:w val="0.36375"/>
          <c:h val="0.786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Lbls>
            <c:dLbl>
              <c:idx val="2"/>
              <c:tx>
                <c:rich>
                  <a:bodyPr vert="horz" rot="0" anchor="ctr"/>
                  <a:lstStyle/>
                  <a:p>
                    <a:pPr algn="ctr">
                      <a:defRPr/>
                    </a:pPr>
                    <a:r>
                      <a:rPr lang="en-US" cap="none" sz="1000" b="0" i="0" u="none" baseline="0">
                        <a:solidFill>
                          <a:srgbClr val="000000"/>
                        </a:solidFill>
                        <a:latin typeface="Calibri"/>
                        <a:ea typeface="Calibri"/>
                        <a:cs typeface="Calibri"/>
                      </a:rPr>
                      <a:t>Donors (CoE +)
8%</a:t>
                    </a:r>
                  </a:p>
                </c:rich>
              </c:tx>
              <c:numFmt formatCode="General" sourceLinked="1"/>
              <c:spPr>
                <a:noFill/>
                <a:ln w="3175">
                  <a:noFill/>
                </a:ln>
              </c:spPr>
              <c:dLblPos val="bestFit"/>
              <c:showLegendKey val="0"/>
              <c:showVal val="0"/>
              <c:showBubbleSize val="0"/>
              <c:showCatName val="1"/>
              <c:showSerName val="0"/>
              <c:showPercent val="0"/>
            </c:dLbl>
            <c:dLbl>
              <c:idx val="3"/>
              <c:tx>
                <c:rich>
                  <a:bodyPr vert="horz" rot="0" anchor="ctr"/>
                  <a:lstStyle/>
                  <a:p>
                    <a:pPr algn="ctr">
                      <a:defRPr/>
                    </a:pPr>
                    <a:r>
                      <a:rPr lang="en-US" cap="none" sz="1000" b="0" i="0" u="none" baseline="0">
                        <a:solidFill>
                          <a:srgbClr val="000000"/>
                        </a:solidFill>
                        <a:latin typeface="Calibri"/>
                        <a:ea typeface="Calibri"/>
                        <a:cs typeface="Calibri"/>
                      </a:rPr>
                      <a:t>World Bank
0%</a:t>
                    </a:r>
                  </a:p>
                </c:rich>
              </c:tx>
              <c:numFmt formatCode="General" sourceLinked="1"/>
              <c:spPr>
                <a:noFill/>
                <a:ln w="3175">
                  <a:noFill/>
                </a:ln>
              </c:spPr>
              <c:dLblPos val="bestFit"/>
              <c:showLegendKey val="0"/>
              <c:showVal val="0"/>
              <c:showBubbleSize val="0"/>
              <c:showCatName val="1"/>
              <c:showSerName val="0"/>
              <c:showPercent val="0"/>
            </c:dLbl>
            <c:dLbl>
              <c:idx val="5"/>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numFmt formatCode="General" sourceLinked="1"/>
            <c:dLblPos val="outEnd"/>
            <c:showLegendKey val="0"/>
            <c:showVal val="0"/>
            <c:showBubbleSize val="0"/>
            <c:showCatName val="1"/>
            <c:showSerName val="0"/>
            <c:showLeaderLines val="0"/>
            <c:showPercent val="1"/>
          </c:dLbls>
          <c:cat>
            <c:strRef>
              <c:f>Summary!$B$54:$B$59</c:f>
              <c:strCache/>
            </c:strRef>
          </c:cat>
          <c:val>
            <c:numRef>
              <c:f>Summary!$C$54:$C$59</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19050</xdr:rowOff>
    </xdr:from>
    <xdr:to>
      <xdr:col>11</xdr:col>
      <xdr:colOff>381000</xdr:colOff>
      <xdr:row>7</xdr:row>
      <xdr:rowOff>114300</xdr:rowOff>
    </xdr:to>
    <xdr:pic>
      <xdr:nvPicPr>
        <xdr:cNvPr id="1" name="Picture 2"/>
        <xdr:cNvPicPr preferRelativeResize="1">
          <a:picLocks noChangeAspect="1"/>
        </xdr:cNvPicPr>
      </xdr:nvPicPr>
      <xdr:blipFill>
        <a:blip r:embed="rId1"/>
        <a:stretch>
          <a:fillRect/>
        </a:stretch>
      </xdr:blipFill>
      <xdr:spPr>
        <a:xfrm>
          <a:off x="38100" y="209550"/>
          <a:ext cx="7505700" cy="1238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133350</xdr:colOff>
      <xdr:row>4</xdr:row>
      <xdr:rowOff>9525</xdr:rowOff>
    </xdr:from>
    <xdr:to>
      <xdr:col>15</xdr:col>
      <xdr:colOff>485775</xdr:colOff>
      <xdr:row>18</xdr:row>
      <xdr:rowOff>95250</xdr:rowOff>
    </xdr:to>
    <xdr:graphicFrame>
      <xdr:nvGraphicFramePr>
        <xdr:cNvPr id="1" name="Chart 1"/>
        <xdr:cNvGraphicFramePr/>
      </xdr:nvGraphicFramePr>
      <xdr:xfrm>
        <a:off x="8134350" y="781050"/>
        <a:ext cx="4981575" cy="2790825"/>
      </xdr:xfrm>
      <a:graphic>
        <a:graphicData uri="http://schemas.openxmlformats.org/drawingml/2006/chart">
          <c:chart xmlns:c="http://schemas.openxmlformats.org/drawingml/2006/chart" r:id="rId1"/>
        </a:graphicData>
      </a:graphic>
    </xdr:graphicFrame>
    <xdr:clientData/>
  </xdr:twoCellAnchor>
  <xdr:twoCellAnchor>
    <xdr:from>
      <xdr:col>9</xdr:col>
      <xdr:colOff>171450</xdr:colOff>
      <xdr:row>21</xdr:row>
      <xdr:rowOff>9525</xdr:rowOff>
    </xdr:from>
    <xdr:to>
      <xdr:col>16</xdr:col>
      <xdr:colOff>28575</xdr:colOff>
      <xdr:row>30</xdr:row>
      <xdr:rowOff>0</xdr:rowOff>
    </xdr:to>
    <xdr:graphicFrame>
      <xdr:nvGraphicFramePr>
        <xdr:cNvPr id="2" name="Chart 2"/>
        <xdr:cNvGraphicFramePr/>
      </xdr:nvGraphicFramePr>
      <xdr:xfrm>
        <a:off x="8172450" y="4067175"/>
        <a:ext cx="5095875" cy="2247900"/>
      </xdr:xfrm>
      <a:graphic>
        <a:graphicData uri="http://schemas.openxmlformats.org/drawingml/2006/chart">
          <c:chart xmlns:c="http://schemas.openxmlformats.org/drawingml/2006/chart" r:id="rId2"/>
        </a:graphicData>
      </a:graphic>
    </xdr:graphicFrame>
    <xdr:clientData/>
  </xdr:twoCellAnchor>
  <xdr:twoCellAnchor>
    <xdr:from>
      <xdr:col>12</xdr:col>
      <xdr:colOff>304800</xdr:colOff>
      <xdr:row>33</xdr:row>
      <xdr:rowOff>19050</xdr:rowOff>
    </xdr:from>
    <xdr:to>
      <xdr:col>25</xdr:col>
      <xdr:colOff>200025</xdr:colOff>
      <xdr:row>51</xdr:row>
      <xdr:rowOff>171450</xdr:rowOff>
    </xdr:to>
    <xdr:graphicFrame>
      <xdr:nvGraphicFramePr>
        <xdr:cNvPr id="3" name="Chart 5"/>
        <xdr:cNvGraphicFramePr/>
      </xdr:nvGraphicFramePr>
      <xdr:xfrm>
        <a:off x="10706100" y="6915150"/>
        <a:ext cx="8220075" cy="4933950"/>
      </xdr:xfrm>
      <a:graphic>
        <a:graphicData uri="http://schemas.openxmlformats.org/drawingml/2006/chart">
          <c:chart xmlns:c="http://schemas.openxmlformats.org/drawingml/2006/chart" r:id="rId3"/>
        </a:graphicData>
      </a:graphic>
    </xdr:graphicFrame>
    <xdr:clientData/>
  </xdr:twoCellAnchor>
  <xdr:twoCellAnchor>
    <xdr:from>
      <xdr:col>3</xdr:col>
      <xdr:colOff>419100</xdr:colOff>
      <xdr:row>51</xdr:row>
      <xdr:rowOff>95250</xdr:rowOff>
    </xdr:from>
    <xdr:to>
      <xdr:col>10</xdr:col>
      <xdr:colOff>38100</xdr:colOff>
      <xdr:row>65</xdr:row>
      <xdr:rowOff>171450</xdr:rowOff>
    </xdr:to>
    <xdr:graphicFrame>
      <xdr:nvGraphicFramePr>
        <xdr:cNvPr id="4" name="Chart 6"/>
        <xdr:cNvGraphicFramePr/>
      </xdr:nvGraphicFramePr>
      <xdr:xfrm>
        <a:off x="3209925" y="11772900"/>
        <a:ext cx="5476875" cy="2771775"/>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Users\PC\AppData\Local\Microsoft\Windows\Temporary%20Internet%20Files\Content.Outlook\M987B4P8\SNRAP%20costing%20table%20Inovacioni%2016%2001%202015_bis_L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Buxhetimi i produkteve"/>
      <sheetName val="D.Cmimet referuese "/>
      <sheetName val="Sheet1"/>
      <sheetName val="Sheet2"/>
    </sheetNames>
    <sheetDataSet>
      <sheetData sheetId="3">
        <row r="25">
          <cell r="I25">
            <v>3476278.5714285714</v>
          </cell>
        </row>
        <row r="26">
          <cell r="I26">
            <v>2967650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org/termsandconditions" TargetMode="External" /><Relationship Id="rId2" Type="http://schemas.openxmlformats.org/officeDocument/2006/relationships/hyperlink" Target="mailto:sigmaweb@oecd.org"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2:O29"/>
  <sheetViews>
    <sheetView tabSelected="1" zoomScale="60" zoomScaleNormal="60" workbookViewId="0" topLeftCell="A1">
      <selection activeCell="M24" sqref="M24"/>
    </sheetView>
  </sheetViews>
  <sheetFormatPr defaultColWidth="9.140625" defaultRowHeight="15"/>
  <cols>
    <col min="2" max="2" width="9.140625" style="806" customWidth="1"/>
    <col min="5" max="5" width="16.00390625" style="0" bestFit="1" customWidth="1"/>
  </cols>
  <sheetData>
    <row r="2" ht="15"/>
    <row r="3" ht="15"/>
    <row r="4" ht="15"/>
    <row r="5" ht="15"/>
    <row r="6" ht="15"/>
    <row r="7" ht="15"/>
    <row r="8" ht="15"/>
    <row r="12" spans="1:15" ht="28.5">
      <c r="A12" s="807"/>
      <c r="B12" s="807"/>
      <c r="C12" s="808" t="s">
        <v>708</v>
      </c>
      <c r="D12" s="808"/>
      <c r="E12" s="807"/>
      <c r="F12" s="807"/>
      <c r="G12" s="807"/>
      <c r="H12" s="807"/>
      <c r="I12" s="807"/>
      <c r="J12" s="807"/>
      <c r="K12" s="807"/>
      <c r="L12" s="807"/>
      <c r="M12" s="807"/>
      <c r="N12" s="807"/>
      <c r="O12" s="807"/>
    </row>
    <row r="13" spans="1:15" ht="28.5">
      <c r="A13" s="807"/>
      <c r="B13" s="807"/>
      <c r="D13" s="808" t="s">
        <v>709</v>
      </c>
      <c r="E13" s="807"/>
      <c r="F13" s="807"/>
      <c r="G13" s="807"/>
      <c r="H13" s="807"/>
      <c r="I13" s="807"/>
      <c r="J13" s="807"/>
      <c r="K13" s="807"/>
      <c r="L13" s="807"/>
      <c r="M13" s="807"/>
      <c r="N13" s="807"/>
      <c r="O13" s="807"/>
    </row>
    <row r="14" spans="1:15" ht="28.5">
      <c r="A14" s="807"/>
      <c r="B14" s="807"/>
      <c r="D14" s="808"/>
      <c r="E14" s="808" t="s">
        <v>710</v>
      </c>
      <c r="F14" s="807"/>
      <c r="G14" s="807"/>
      <c r="H14" s="807"/>
      <c r="I14" s="807"/>
      <c r="J14" s="807"/>
      <c r="K14" s="807"/>
      <c r="L14" s="807"/>
      <c r="M14" s="807"/>
      <c r="N14" s="807"/>
      <c r="O14" s="807"/>
    </row>
    <row r="15" spans="1:15" ht="28.5">
      <c r="A15" s="807"/>
      <c r="B15" s="809"/>
      <c r="C15" s="808"/>
      <c r="K15" s="807"/>
      <c r="L15" s="807"/>
      <c r="M15" s="807"/>
      <c r="N15" s="807"/>
      <c r="O15" s="807"/>
    </row>
    <row r="16" spans="1:15" ht="28.5">
      <c r="A16" s="807"/>
      <c r="B16" s="807"/>
      <c r="C16" s="807"/>
      <c r="E16" s="808" t="s">
        <v>711</v>
      </c>
      <c r="K16" s="807"/>
      <c r="L16" s="807"/>
      <c r="M16" s="807"/>
      <c r="N16" s="807"/>
      <c r="O16" s="807"/>
    </row>
    <row r="17" spans="1:15" ht="28.5">
      <c r="A17" s="807"/>
      <c r="B17" s="809"/>
      <c r="C17" s="807"/>
      <c r="K17" s="807"/>
      <c r="L17" s="807"/>
      <c r="M17" s="807"/>
      <c r="N17" s="807"/>
      <c r="O17" s="807"/>
    </row>
    <row r="18" spans="1:15" ht="28.5">
      <c r="A18" s="807"/>
      <c r="C18" s="807"/>
      <c r="D18" s="807"/>
      <c r="E18" s="1209" t="s">
        <v>712</v>
      </c>
      <c r="F18" s="1209"/>
      <c r="G18" s="1210"/>
      <c r="H18" s="1210"/>
      <c r="I18" s="807"/>
      <c r="J18" s="807"/>
      <c r="K18" s="807"/>
      <c r="L18" s="807"/>
      <c r="M18" s="807"/>
      <c r="N18" s="807"/>
      <c r="O18" s="807"/>
    </row>
    <row r="19" spans="4:10" ht="28.5">
      <c r="D19" s="807"/>
      <c r="E19" s="808" t="s">
        <v>702</v>
      </c>
      <c r="F19" s="807"/>
      <c r="G19" s="807"/>
      <c r="H19" s="807"/>
      <c r="I19" s="807"/>
      <c r="J19" s="807"/>
    </row>
    <row r="20" spans="4:10" ht="38.25" customHeight="1">
      <c r="D20" s="807"/>
      <c r="E20" s="807"/>
      <c r="F20" s="807"/>
      <c r="G20" s="807"/>
      <c r="H20" s="807"/>
      <c r="I20" s="807"/>
      <c r="J20" s="807"/>
    </row>
    <row r="21" spans="4:10" ht="28.5">
      <c r="D21" s="808" t="s">
        <v>706</v>
      </c>
      <c r="E21" s="807"/>
      <c r="F21" s="807"/>
      <c r="G21" s="807"/>
      <c r="H21" s="807"/>
      <c r="I21" s="807"/>
      <c r="J21" s="807"/>
    </row>
    <row r="22" ht="28.5">
      <c r="E22" s="808" t="s">
        <v>707</v>
      </c>
    </row>
    <row r="24" ht="28.5" customHeight="1"/>
    <row r="25" ht="30" customHeight="1"/>
    <row r="26" ht="27" customHeight="1"/>
    <row r="27" spans="2:10" ht="15" customHeight="1">
      <c r="B27" s="810" t="s">
        <v>704</v>
      </c>
      <c r="C27" s="810"/>
      <c r="D27" s="811" t="s">
        <v>692</v>
      </c>
      <c r="E27" s="812"/>
      <c r="F27" s="812"/>
      <c r="G27" s="812"/>
      <c r="H27" s="812"/>
      <c r="I27" s="812"/>
      <c r="J27" s="812"/>
    </row>
    <row r="28" spans="2:10" ht="15" customHeight="1">
      <c r="B28" s="813" t="s">
        <v>694</v>
      </c>
      <c r="C28" s="810"/>
      <c r="D28" s="811" t="s">
        <v>693</v>
      </c>
      <c r="E28" s="812"/>
      <c r="F28" s="812"/>
      <c r="G28" s="812"/>
      <c r="H28" s="812"/>
      <c r="I28" s="812"/>
      <c r="J28" s="812"/>
    </row>
    <row r="29" spans="2:10" ht="15" customHeight="1">
      <c r="B29" s="814" t="s">
        <v>705</v>
      </c>
      <c r="C29" s="814"/>
      <c r="D29" s="815" t="s">
        <v>703</v>
      </c>
      <c r="E29" s="816"/>
      <c r="F29" s="816"/>
      <c r="G29" s="816"/>
      <c r="H29" s="816"/>
      <c r="I29" s="816"/>
      <c r="J29" s="816"/>
    </row>
  </sheetData>
  <sheetProtection/>
  <mergeCells count="6">
    <mergeCell ref="B27:C27"/>
    <mergeCell ref="D27:J27"/>
    <mergeCell ref="B28:C28"/>
    <mergeCell ref="D28:J28"/>
    <mergeCell ref="B29:C29"/>
    <mergeCell ref="D29:J29"/>
  </mergeCells>
  <hyperlinks>
    <hyperlink ref="D29" r:id="rId1" display="http://www.oecd.org/termsandconditions"/>
    <hyperlink ref="B28" r:id="rId2" display="mailto:sigmaweb@oecd.org"/>
  </hyperlinks>
  <printOptions/>
  <pageMargins left="0.7" right="0.7" top="0.75" bottom="0.75" header="0.3" footer="0.3"/>
  <pageSetup horizontalDpi="600" verticalDpi="600" orientation="portrait" paperSize="9" r:id="rId4"/>
  <drawing r:id="rId3"/>
</worksheet>
</file>

<file path=xl/worksheets/sheet2.xml><?xml version="1.0" encoding="utf-8"?>
<worksheet xmlns="http://schemas.openxmlformats.org/spreadsheetml/2006/main" xmlns:r="http://schemas.openxmlformats.org/officeDocument/2006/relationships">
  <dimension ref="B2:M59"/>
  <sheetViews>
    <sheetView zoomScalePageLayoutView="0" workbookViewId="0" topLeftCell="A37">
      <selection activeCell="C31" sqref="C31"/>
    </sheetView>
  </sheetViews>
  <sheetFormatPr defaultColWidth="9.140625" defaultRowHeight="15"/>
  <cols>
    <col min="2" max="2" width="20.00390625" style="687" customWidth="1"/>
    <col min="3" max="3" width="12.7109375" style="687" customWidth="1"/>
    <col min="4" max="4" width="15.140625" style="687" customWidth="1"/>
    <col min="5" max="5" width="12.8515625" style="687" customWidth="1"/>
    <col min="6" max="6" width="13.28125" style="687" customWidth="1"/>
    <col min="7" max="7" width="13.421875" style="687" customWidth="1"/>
    <col min="8" max="9" width="11.7109375" style="687" bestFit="1" customWidth="1"/>
    <col min="10" max="10" width="9.7109375" style="687" bestFit="1" customWidth="1"/>
    <col min="11" max="11" width="14.140625" style="687" customWidth="1"/>
    <col min="12" max="12" width="12.140625" style="687" customWidth="1"/>
    <col min="13" max="13" width="15.140625" style="0" customWidth="1"/>
  </cols>
  <sheetData>
    <row r="2" ht="15">
      <c r="D2" s="686" t="s">
        <v>655</v>
      </c>
    </row>
    <row r="4" ht="15.75" thickBot="1">
      <c r="B4" s="728" t="s">
        <v>682</v>
      </c>
    </row>
    <row r="5" spans="2:9" ht="15.75" thickBot="1">
      <c r="B5" s="822" t="s">
        <v>656</v>
      </c>
      <c r="C5" s="824" t="s">
        <v>657</v>
      </c>
      <c r="D5" s="826" t="s">
        <v>659</v>
      </c>
      <c r="E5" s="827"/>
      <c r="F5" s="827"/>
      <c r="G5" s="827"/>
      <c r="H5" s="827"/>
      <c r="I5" s="828"/>
    </row>
    <row r="6" spans="2:9" ht="15.75" thickBot="1">
      <c r="B6" s="823"/>
      <c r="C6" s="825"/>
      <c r="D6" s="726" t="s">
        <v>658</v>
      </c>
      <c r="E6" s="727" t="s">
        <v>227</v>
      </c>
      <c r="F6" s="727" t="s">
        <v>660</v>
      </c>
      <c r="G6" s="727" t="s">
        <v>661</v>
      </c>
      <c r="H6" s="727" t="s">
        <v>206</v>
      </c>
      <c r="I6" s="727" t="s">
        <v>662</v>
      </c>
    </row>
    <row r="7" spans="2:9" ht="15">
      <c r="B7" s="720" t="s">
        <v>664</v>
      </c>
      <c r="C7" s="710">
        <f>'A.Outputs Budgeting'!F41</f>
        <v>9204025</v>
      </c>
      <c r="D7" s="715">
        <f>'A.Outputs Budgeting'!G41</f>
        <v>8000</v>
      </c>
      <c r="E7" s="715">
        <f>'A.Outputs Budgeting'!H41</f>
        <v>450000</v>
      </c>
      <c r="F7" s="715">
        <f>'A.Outputs Budgeting'!I41</f>
        <v>0</v>
      </c>
      <c r="G7" s="715">
        <f>'A.Outputs Budgeting'!J41</f>
        <v>300000</v>
      </c>
      <c r="H7" s="715">
        <f>'A.Outputs Budgeting'!K41</f>
        <v>0</v>
      </c>
      <c r="I7" s="716">
        <f>'A.Outputs Budgeting'!L41</f>
        <v>8446025</v>
      </c>
    </row>
    <row r="8" spans="2:9" ht="15">
      <c r="B8" s="721" t="s">
        <v>663</v>
      </c>
      <c r="C8" s="710">
        <f>'A.Outputs Budgeting'!F63</f>
        <v>789330</v>
      </c>
      <c r="D8" s="710">
        <f>'A.Outputs Budgeting'!G63</f>
        <v>7500</v>
      </c>
      <c r="E8" s="710">
        <f>'A.Outputs Budgeting'!H63</f>
        <v>0</v>
      </c>
      <c r="F8" s="710">
        <f>'A.Outputs Budgeting'!I63</f>
        <v>0</v>
      </c>
      <c r="G8" s="710">
        <f>'A.Outputs Budgeting'!J63</f>
        <v>0</v>
      </c>
      <c r="H8" s="710">
        <f>'A.Outputs Budgeting'!K63</f>
        <v>0</v>
      </c>
      <c r="I8" s="712">
        <f>'A.Outputs Budgeting'!L63</f>
        <v>781830</v>
      </c>
    </row>
    <row r="9" spans="2:9" ht="15">
      <c r="B9" s="721" t="s">
        <v>665</v>
      </c>
      <c r="C9" s="710">
        <f>'A.Outputs Budgeting'!F84</f>
        <v>931375.4</v>
      </c>
      <c r="D9" s="710">
        <f>'A.Outputs Budgeting'!G84</f>
        <v>80645.40000000001</v>
      </c>
      <c r="E9" s="710">
        <f>'A.Outputs Budgeting'!H84</f>
        <v>0</v>
      </c>
      <c r="F9" s="710">
        <f>'A.Outputs Budgeting'!I84</f>
        <v>0</v>
      </c>
      <c r="G9" s="710">
        <f>'A.Outputs Budgeting'!J84</f>
        <v>72900</v>
      </c>
      <c r="H9" s="710">
        <f>'A.Outputs Budgeting'!K84</f>
        <v>0</v>
      </c>
      <c r="I9" s="712">
        <f>'A.Outputs Budgeting'!L84</f>
        <v>777830</v>
      </c>
    </row>
    <row r="10" spans="2:9" ht="15">
      <c r="B10" s="721" t="s">
        <v>666</v>
      </c>
      <c r="C10" s="710">
        <f>'A.Outputs Budgeting'!F96</f>
        <v>3186525</v>
      </c>
      <c r="D10" s="710">
        <f>'A.Outputs Budgeting'!G96</f>
        <v>70000</v>
      </c>
      <c r="E10" s="710">
        <f>'A.Outputs Budgeting'!H96</f>
        <v>1000000</v>
      </c>
      <c r="F10" s="710">
        <f>'A.Outputs Budgeting'!I96</f>
        <v>315000</v>
      </c>
      <c r="G10" s="710">
        <f>'A.Outputs Budgeting'!J96</f>
        <v>0</v>
      </c>
      <c r="H10" s="710">
        <f>'A.Outputs Budgeting'!K96</f>
        <v>0</v>
      </c>
      <c r="I10" s="712">
        <f>'A.Outputs Budgeting'!L96</f>
        <v>1801525</v>
      </c>
    </row>
    <row r="11" spans="2:9" ht="15">
      <c r="B11" s="721" t="s">
        <v>667</v>
      </c>
      <c r="C11" s="710">
        <f>'A.Outputs Budgeting'!F103</f>
        <v>33143170</v>
      </c>
      <c r="D11" s="710">
        <f>'A.Outputs Budgeting'!G103</f>
        <v>13703370</v>
      </c>
      <c r="E11" s="710">
        <f>'A.Outputs Budgeting'!H103</f>
        <v>0</v>
      </c>
      <c r="F11" s="710">
        <f>'A.Outputs Budgeting'!I103</f>
        <v>0</v>
      </c>
      <c r="G11" s="710">
        <f>'A.Outputs Budgeting'!J103</f>
        <v>15485722</v>
      </c>
      <c r="H11" s="710">
        <f>'A.Outputs Budgeting'!K103</f>
        <v>916078</v>
      </c>
      <c r="I11" s="712">
        <f>'A.Outputs Budgeting'!L103</f>
        <v>3038000</v>
      </c>
    </row>
    <row r="12" spans="2:9" ht="15">
      <c r="B12" s="721" t="s">
        <v>668</v>
      </c>
      <c r="C12" s="710">
        <f>'A.Outputs Budgeting'!F145</f>
        <v>3601931</v>
      </c>
      <c r="D12" s="710">
        <f>'A.Outputs Budgeting'!G145</f>
        <v>567106.515</v>
      </c>
      <c r="E12" s="710">
        <f>'A.Outputs Budgeting'!H145</f>
        <v>1372024.25</v>
      </c>
      <c r="F12" s="710">
        <f>'A.Outputs Budgeting'!I145</f>
        <v>0</v>
      </c>
      <c r="G12" s="710">
        <f>'A.Outputs Budgeting'!J145</f>
        <v>348000</v>
      </c>
      <c r="H12" s="710">
        <f>'A.Outputs Budgeting'!K145</f>
        <v>0</v>
      </c>
      <c r="I12" s="712">
        <f>'A.Outputs Budgeting'!L145</f>
        <v>1314800.235</v>
      </c>
    </row>
    <row r="13" spans="2:9" ht="15">
      <c r="B13" s="721" t="s">
        <v>669</v>
      </c>
      <c r="C13" s="710">
        <f>'A.Outputs Budgeting'!F151</f>
        <v>810000</v>
      </c>
      <c r="D13" s="710">
        <f>'A.Outputs Budgeting'!G151</f>
        <v>85000</v>
      </c>
      <c r="E13" s="710">
        <f>'A.Outputs Budgeting'!H151</f>
        <v>0</v>
      </c>
      <c r="F13" s="710">
        <f>'A.Outputs Budgeting'!I151</f>
        <v>0</v>
      </c>
      <c r="G13" s="710">
        <f>'A.Outputs Budgeting'!J151</f>
        <v>0</v>
      </c>
      <c r="H13" s="710">
        <f>'A.Outputs Budgeting'!K151</f>
        <v>0</v>
      </c>
      <c r="I13" s="712">
        <f>'A.Outputs Budgeting'!L151</f>
        <v>725000</v>
      </c>
    </row>
    <row r="14" spans="2:9" ht="15">
      <c r="B14" s="721" t="s">
        <v>670</v>
      </c>
      <c r="C14" s="710">
        <f>'A.Outputs Budgeting'!F165</f>
        <v>10970077</v>
      </c>
      <c r="D14" s="710">
        <f>'A.Outputs Budgeting'!G165</f>
        <v>2322361.4861999997</v>
      </c>
      <c r="E14" s="710">
        <f>'A.Outputs Budgeting'!H165</f>
        <v>1272242</v>
      </c>
      <c r="F14" s="710">
        <f>'A.Outputs Budgeting'!I165</f>
        <v>0</v>
      </c>
      <c r="G14" s="710">
        <f>'A.Outputs Budgeting'!J165</f>
        <v>1583750</v>
      </c>
      <c r="H14" s="710">
        <f>'A.Outputs Budgeting'!K165</f>
        <v>0</v>
      </c>
      <c r="I14" s="712">
        <f>'A.Outputs Budgeting'!L165</f>
        <v>5791723.5138</v>
      </c>
    </row>
    <row r="15" spans="2:9" ht="15">
      <c r="B15" s="721" t="s">
        <v>671</v>
      </c>
      <c r="C15" s="710">
        <f>'A.Outputs Budgeting'!F172</f>
        <v>13708081</v>
      </c>
      <c r="D15" s="710">
        <f>'A.Outputs Budgeting'!G172</f>
        <v>1974175</v>
      </c>
      <c r="E15" s="710">
        <f>'A.Outputs Budgeting'!H172</f>
        <v>0</v>
      </c>
      <c r="F15" s="710">
        <f>'A.Outputs Budgeting'!I172</f>
        <v>0</v>
      </c>
      <c r="G15" s="710">
        <f>'A.Outputs Budgeting'!J172</f>
        <v>262906</v>
      </c>
      <c r="H15" s="710">
        <f>'A.Outputs Budgeting'!K172</f>
        <v>0</v>
      </c>
      <c r="I15" s="712">
        <f>'A.Outputs Budgeting'!L172</f>
        <v>11471000</v>
      </c>
    </row>
    <row r="16" spans="2:9" ht="15">
      <c r="B16" s="721" t="s">
        <v>672</v>
      </c>
      <c r="C16" s="710">
        <f>'A.Outputs Budgeting'!F178</f>
        <v>2700000</v>
      </c>
      <c r="D16" s="710">
        <f>'A.Outputs Budgeting'!G178</f>
        <v>0</v>
      </c>
      <c r="E16" s="710">
        <f>'A.Outputs Budgeting'!H178</f>
        <v>700000</v>
      </c>
      <c r="F16" s="710">
        <f>'A.Outputs Budgeting'!I178</f>
        <v>0</v>
      </c>
      <c r="G16" s="710">
        <f>'A.Outputs Budgeting'!J178</f>
        <v>0</v>
      </c>
      <c r="H16" s="710">
        <f>'A.Outputs Budgeting'!K178</f>
        <v>0</v>
      </c>
      <c r="I16" s="712">
        <f>'A.Outputs Budgeting'!L178</f>
        <v>2000000</v>
      </c>
    </row>
    <row r="17" spans="2:9" ht="15.75" thickBot="1">
      <c r="B17" s="722" t="s">
        <v>673</v>
      </c>
      <c r="C17" s="717">
        <f>'A.Outputs Budgeting'!F183</f>
        <v>600000</v>
      </c>
      <c r="D17" s="717">
        <f>'A.Outputs Budgeting'!G183</f>
        <v>0</v>
      </c>
      <c r="E17" s="717">
        <f>'A.Outputs Budgeting'!H183</f>
        <v>600000</v>
      </c>
      <c r="F17" s="717">
        <f>'A.Outputs Budgeting'!I183</f>
        <v>0</v>
      </c>
      <c r="G17" s="717">
        <f>'A.Outputs Budgeting'!J183</f>
        <v>0</v>
      </c>
      <c r="H17" s="717">
        <f>'A.Outputs Budgeting'!K183</f>
        <v>0</v>
      </c>
      <c r="I17" s="718">
        <f>'A.Outputs Budgeting'!L183</f>
        <v>0</v>
      </c>
    </row>
    <row r="18" spans="2:9" ht="15.75" thickBot="1">
      <c r="B18" s="723" t="s">
        <v>1</v>
      </c>
      <c r="C18" s="724">
        <f>SUM(C7:C17)</f>
        <v>79644514.4</v>
      </c>
      <c r="D18" s="724">
        <f aca="true" t="shared" si="0" ref="D18:I18">SUM(D7:D17)</f>
        <v>18818158.4012</v>
      </c>
      <c r="E18" s="724">
        <f t="shared" si="0"/>
        <v>5394266.25</v>
      </c>
      <c r="F18" s="724">
        <f t="shared" si="0"/>
        <v>315000</v>
      </c>
      <c r="G18" s="724">
        <f t="shared" si="0"/>
        <v>18053278</v>
      </c>
      <c r="H18" s="724">
        <f t="shared" si="0"/>
        <v>916078</v>
      </c>
      <c r="I18" s="725">
        <f t="shared" si="0"/>
        <v>36147733.748799995</v>
      </c>
    </row>
    <row r="21" ht="15.75" thickBot="1">
      <c r="B21" s="728" t="s">
        <v>681</v>
      </c>
    </row>
    <row r="22" spans="2:9" ht="15" customHeight="1" thickBot="1">
      <c r="B22" s="829" t="s">
        <v>656</v>
      </c>
      <c r="C22" s="831" t="s">
        <v>657</v>
      </c>
      <c r="D22" s="833" t="s">
        <v>659</v>
      </c>
      <c r="E22" s="834"/>
      <c r="F22" s="834"/>
      <c r="G22" s="834"/>
      <c r="H22" s="834"/>
      <c r="I22" s="835"/>
    </row>
    <row r="23" spans="2:9" ht="15.75" thickBot="1">
      <c r="B23" s="830"/>
      <c r="C23" s="832"/>
      <c r="D23" s="729" t="s">
        <v>658</v>
      </c>
      <c r="E23" s="729" t="s">
        <v>227</v>
      </c>
      <c r="F23" s="729" t="s">
        <v>660</v>
      </c>
      <c r="G23" s="729" t="s">
        <v>661</v>
      </c>
      <c r="H23" s="729" t="s">
        <v>206</v>
      </c>
      <c r="I23" s="729" t="s">
        <v>662</v>
      </c>
    </row>
    <row r="24" spans="2:9" ht="24.75">
      <c r="B24" s="688" t="s">
        <v>679</v>
      </c>
      <c r="C24" s="689">
        <f>'A.Outputs Budgeting'!E187</f>
        <v>5819425</v>
      </c>
      <c r="D24" s="689">
        <f>'A.Outputs Budgeting'!F187</f>
        <v>405000</v>
      </c>
      <c r="E24" s="689">
        <f>'A.Outputs Budgeting'!G187</f>
        <v>1200000</v>
      </c>
      <c r="F24" s="689">
        <f>'A.Outputs Budgeting'!H187</f>
        <v>50000</v>
      </c>
      <c r="G24" s="689">
        <f>'A.Outputs Budgeting'!I187</f>
        <v>348000</v>
      </c>
      <c r="H24" s="689">
        <f>'A.Outputs Budgeting'!J187</f>
        <v>0</v>
      </c>
      <c r="I24" s="690">
        <f>'A.Outputs Budgeting'!K187</f>
        <v>3816425</v>
      </c>
    </row>
    <row r="25" spans="2:9" ht="24.75">
      <c r="B25" s="691" t="s">
        <v>674</v>
      </c>
      <c r="C25" s="692">
        <f>'A.Outputs Budgeting'!E188</f>
        <v>989131</v>
      </c>
      <c r="D25" s="692">
        <f>'A.Outputs Budgeting'!F188</f>
        <v>317106.515</v>
      </c>
      <c r="E25" s="692">
        <f>'A.Outputs Budgeting'!G188</f>
        <v>672024.25</v>
      </c>
      <c r="F25" s="692">
        <f>'A.Outputs Budgeting'!H188</f>
        <v>0</v>
      </c>
      <c r="G25" s="692">
        <f>'A.Outputs Budgeting'!I188</f>
        <v>0</v>
      </c>
      <c r="H25" s="692">
        <f>'A.Outputs Budgeting'!J188</f>
        <v>0</v>
      </c>
      <c r="I25" s="693">
        <f>'A.Outputs Budgeting'!K188</f>
        <v>0.2349999999796637</v>
      </c>
    </row>
    <row r="26" spans="2:9" ht="36.75">
      <c r="B26" s="691" t="s">
        <v>675</v>
      </c>
      <c r="C26" s="692">
        <f>'A.Outputs Budgeting'!E189</f>
        <v>10852580.4</v>
      </c>
      <c r="D26" s="692">
        <f>'A.Outputs Budgeting'!F189</f>
        <v>96145.40000000001</v>
      </c>
      <c r="E26" s="692">
        <f>'A.Outputs Budgeting'!G189</f>
        <v>450000</v>
      </c>
      <c r="F26" s="692">
        <f>'A.Outputs Budgeting'!H189</f>
        <v>0</v>
      </c>
      <c r="G26" s="692">
        <f>'A.Outputs Budgeting'!I189</f>
        <v>372900</v>
      </c>
      <c r="H26" s="692">
        <f>'A.Outputs Budgeting'!J189</f>
        <v>0</v>
      </c>
      <c r="I26" s="693">
        <f>'A.Outputs Budgeting'!K189</f>
        <v>9933535</v>
      </c>
    </row>
    <row r="27" spans="2:9" ht="15">
      <c r="B27" s="691" t="s">
        <v>676</v>
      </c>
      <c r="C27" s="692">
        <f>'A.Outputs Budgeting'!E190</f>
        <v>50483328</v>
      </c>
      <c r="D27" s="692">
        <f>'A.Outputs Budgeting'!F190</f>
        <v>13699906.4862</v>
      </c>
      <c r="E27" s="692">
        <f>'A.Outputs Budgeting'!G190</f>
        <v>1272242</v>
      </c>
      <c r="F27" s="692">
        <f>'A.Outputs Budgeting'!H190</f>
        <v>0</v>
      </c>
      <c r="G27" s="692">
        <f>'A.Outputs Budgeting'!I190</f>
        <v>17332378</v>
      </c>
      <c r="H27" s="692">
        <f>'A.Outputs Budgeting'!J190</f>
        <v>916078</v>
      </c>
      <c r="I27" s="693">
        <f>'A.Outputs Budgeting'!K190</f>
        <v>17262723.5138</v>
      </c>
    </row>
    <row r="28" spans="2:9" ht="15">
      <c r="B28" s="691" t="s">
        <v>677</v>
      </c>
      <c r="C28" s="692">
        <f>'A.Outputs Budgeting'!E191</f>
        <v>8127900</v>
      </c>
      <c r="D28" s="692">
        <f>'A.Outputs Budgeting'!F191</f>
        <v>4300000</v>
      </c>
      <c r="E28" s="692">
        <f>'A.Outputs Budgeting'!G191</f>
        <v>500000</v>
      </c>
      <c r="F28" s="692">
        <f>'A.Outputs Budgeting'!H191</f>
        <v>265000</v>
      </c>
      <c r="G28" s="692">
        <f>'A.Outputs Budgeting'!I191</f>
        <v>0</v>
      </c>
      <c r="H28" s="692">
        <f>'A.Outputs Budgeting'!J191</f>
        <v>0</v>
      </c>
      <c r="I28" s="693">
        <f>'A.Outputs Budgeting'!K191</f>
        <v>3062900</v>
      </c>
    </row>
    <row r="29" spans="2:9" ht="15">
      <c r="B29" s="691" t="s">
        <v>678</v>
      </c>
      <c r="C29" s="692">
        <f>'A.Outputs Budgeting'!E192</f>
        <v>3372150</v>
      </c>
      <c r="D29" s="692">
        <f>'A.Outputs Budgeting'!F192</f>
        <v>0</v>
      </c>
      <c r="E29" s="692">
        <f>'A.Outputs Budgeting'!G192</f>
        <v>1300000</v>
      </c>
      <c r="F29" s="692">
        <f>'A.Outputs Budgeting'!H192</f>
        <v>0</v>
      </c>
      <c r="G29" s="692">
        <f>'A.Outputs Budgeting'!I192</f>
        <v>0</v>
      </c>
      <c r="H29" s="692">
        <f>'A.Outputs Budgeting'!J192</f>
        <v>0</v>
      </c>
      <c r="I29" s="693">
        <f>'A.Outputs Budgeting'!K192</f>
        <v>2072150</v>
      </c>
    </row>
    <row r="30" spans="2:9" ht="15.75" thickBot="1">
      <c r="B30" s="694"/>
      <c r="C30" s="695">
        <f aca="true" t="shared" si="1" ref="C30:I30">SUM(C24:C29)</f>
        <v>79644514.4</v>
      </c>
      <c r="D30" s="695">
        <f t="shared" si="1"/>
        <v>18818158.4012</v>
      </c>
      <c r="E30" s="695">
        <f t="shared" si="1"/>
        <v>5394266.25</v>
      </c>
      <c r="F30" s="695">
        <f t="shared" si="1"/>
        <v>315000</v>
      </c>
      <c r="G30" s="695">
        <f t="shared" si="1"/>
        <v>18053278</v>
      </c>
      <c r="H30" s="695">
        <f t="shared" si="1"/>
        <v>916078</v>
      </c>
      <c r="I30" s="696">
        <f t="shared" si="1"/>
        <v>36147733.748799995</v>
      </c>
    </row>
    <row r="31" ht="15">
      <c r="C31" s="697"/>
    </row>
    <row r="33" ht="15.75" thickBot="1">
      <c r="B33" s="733" t="s">
        <v>680</v>
      </c>
    </row>
    <row r="34" spans="2:12" ht="15.75" thickBot="1">
      <c r="B34" s="698"/>
      <c r="C34" s="817" t="s">
        <v>685</v>
      </c>
      <c r="D34" s="818"/>
      <c r="E34" s="818"/>
      <c r="F34" s="818"/>
      <c r="G34" s="818"/>
      <c r="H34" s="818"/>
      <c r="I34" s="818"/>
      <c r="J34" s="818"/>
      <c r="K34" s="819"/>
      <c r="L34" s="820" t="s">
        <v>1</v>
      </c>
    </row>
    <row r="35" spans="2:12" ht="36.75" customHeight="1" thickBot="1">
      <c r="B35" s="699"/>
      <c r="C35" s="700" t="s">
        <v>683</v>
      </c>
      <c r="D35" s="700" t="s">
        <v>237</v>
      </c>
      <c r="E35" s="700" t="s">
        <v>684</v>
      </c>
      <c r="F35" s="700" t="s">
        <v>395</v>
      </c>
      <c r="G35" s="700" t="s">
        <v>396</v>
      </c>
      <c r="H35" s="700" t="s">
        <v>686</v>
      </c>
      <c r="I35" s="700" t="s">
        <v>253</v>
      </c>
      <c r="J35" s="700" t="s">
        <v>256</v>
      </c>
      <c r="K35" s="700" t="s">
        <v>687</v>
      </c>
      <c r="L35" s="821"/>
    </row>
    <row r="36" spans="2:13" ht="24.75">
      <c r="B36" s="701" t="s">
        <v>679</v>
      </c>
      <c r="C36" s="702">
        <f>'Civil Service &amp; HRM'!J44</f>
        <v>0</v>
      </c>
      <c r="D36" s="702">
        <f>'Civil Service &amp; HRM'!S44</f>
        <v>267375</v>
      </c>
      <c r="E36" s="702">
        <f>'Civil Service &amp; HRM'!V44+'Civil Service &amp; HRM'!Y44</f>
        <v>4035050</v>
      </c>
      <c r="F36" s="702">
        <f>'Civil Service &amp; HRM'!AB44</f>
        <v>20000</v>
      </c>
      <c r="G36" s="702">
        <f>'Civil Service &amp; HRM'!AC44</f>
        <v>0</v>
      </c>
      <c r="H36" s="702">
        <f>'Civil Service &amp; HRM'!AD44</f>
        <v>613000</v>
      </c>
      <c r="I36" s="702">
        <f>'Civil Service &amp; HRM'!AG44</f>
        <v>200000</v>
      </c>
      <c r="J36" s="702">
        <f>'Civil Service &amp; HRM'!AJ44</f>
        <v>0</v>
      </c>
      <c r="K36" s="702">
        <f>'Civil Service &amp; HRM'!AK44</f>
        <v>684000</v>
      </c>
      <c r="L36" s="730">
        <f aca="true" t="shared" si="2" ref="L36:L41">SUM(C36:K36)</f>
        <v>5819425</v>
      </c>
      <c r="M36" s="685">
        <f>L36-C24</f>
        <v>0</v>
      </c>
    </row>
    <row r="37" spans="2:13" ht="24.75">
      <c r="B37" s="703" t="s">
        <v>674</v>
      </c>
      <c r="C37" s="704">
        <f>ASPA!K45</f>
        <v>72000</v>
      </c>
      <c r="D37" s="704">
        <f>ASPA!T45</f>
        <v>501435</v>
      </c>
      <c r="E37" s="704">
        <f>ASPA!W45+ASPA!Z45</f>
        <v>140217</v>
      </c>
      <c r="F37" s="704">
        <f>ASPA!AC45</f>
        <v>4000</v>
      </c>
      <c r="G37" s="704">
        <f>ASPA!AD45</f>
        <v>70000</v>
      </c>
      <c r="H37" s="704">
        <f>ASPA!AE45</f>
        <v>70000</v>
      </c>
      <c r="I37" s="704">
        <f>ASPA!AH45</f>
        <v>39000</v>
      </c>
      <c r="J37" s="704">
        <f>ASPA!AK45</f>
        <v>16000</v>
      </c>
      <c r="K37" s="704">
        <f>ASPA!AL45</f>
        <v>76479</v>
      </c>
      <c r="L37" s="731">
        <f t="shared" si="2"/>
        <v>989131</v>
      </c>
      <c r="M37" s="685">
        <f aca="true" t="shared" si="3" ref="M37:M42">L37-C25</f>
        <v>0</v>
      </c>
    </row>
    <row r="38" spans="2:13" ht="36.75">
      <c r="B38" s="703" t="s">
        <v>675</v>
      </c>
      <c r="C38" s="704">
        <f>'Policy&amp;Monitoring&amp;Legislation'!L88</f>
        <v>259200</v>
      </c>
      <c r="D38" s="704">
        <f>'Policy&amp;Monitoring&amp;Legislation'!U88</f>
        <v>883515</v>
      </c>
      <c r="E38" s="704">
        <f>'Policy&amp;Monitoring&amp;Legislation'!X88+'Policy&amp;Monitoring&amp;Legislation'!AA88</f>
        <v>9077468.257142857</v>
      </c>
      <c r="F38" s="704">
        <f>'Policy&amp;Monitoring&amp;Legislation'!AD88</f>
        <v>179500</v>
      </c>
      <c r="G38" s="704">
        <f>'Policy&amp;Monitoring&amp;Legislation'!AE88</f>
        <v>0</v>
      </c>
      <c r="H38" s="704">
        <f>'Policy&amp;Monitoring&amp;Legislation'!AF88</f>
        <v>250000</v>
      </c>
      <c r="I38" s="704">
        <f>'Policy&amp;Monitoring&amp;Legislation'!AI88</f>
        <v>0</v>
      </c>
      <c r="J38" s="704">
        <f>'Policy&amp;Monitoring&amp;Legislation'!AL88</f>
        <v>0</v>
      </c>
      <c r="K38" s="704">
        <f>'Policy&amp;Monitoring&amp;Legislation'!AM88</f>
        <v>202897.14285714284</v>
      </c>
      <c r="L38" s="731">
        <f t="shared" si="2"/>
        <v>10852580.4</v>
      </c>
      <c r="M38" s="685">
        <f t="shared" si="3"/>
        <v>0</v>
      </c>
    </row>
    <row r="39" spans="2:13" ht="15">
      <c r="B39" s="703" t="s">
        <v>676</v>
      </c>
      <c r="C39" s="704">
        <f>Innovation!K36</f>
        <v>3435720</v>
      </c>
      <c r="D39" s="704">
        <f>Innovation!T36</f>
        <v>200256</v>
      </c>
      <c r="E39" s="704">
        <f>Innovation!Z36+Innovation!W36</f>
        <v>10534246</v>
      </c>
      <c r="F39" s="704">
        <f>Innovation!AC36</f>
        <v>386728</v>
      </c>
      <c r="G39" s="704">
        <f>Innovation!AD36</f>
        <v>18282740</v>
      </c>
      <c r="H39" s="704">
        <f>Innovation!AE36</f>
        <v>8628015</v>
      </c>
      <c r="I39" s="704">
        <f>Innovation!AH36</f>
        <v>5172639</v>
      </c>
      <c r="J39" s="704">
        <f>Innovation!AK36</f>
        <v>50640</v>
      </c>
      <c r="K39" s="704">
        <f>Innovation!AL36</f>
        <v>3792344</v>
      </c>
      <c r="L39" s="731">
        <f t="shared" si="2"/>
        <v>50483328</v>
      </c>
      <c r="M39" s="685">
        <f t="shared" si="3"/>
        <v>0</v>
      </c>
    </row>
    <row r="40" spans="2:13" ht="15">
      <c r="B40" s="703" t="s">
        <v>677</v>
      </c>
      <c r="C40" s="704">
        <f>'Decentralisation '!J16</f>
        <v>0</v>
      </c>
      <c r="D40" s="704">
        <f>'Decentralisation '!S16</f>
        <v>238250</v>
      </c>
      <c r="E40" s="704">
        <f>'Decentralisation '!V16+'Decentralisation '!Y16</f>
        <v>612650</v>
      </c>
      <c r="F40" s="704">
        <f>'Decentralisation '!AB16</f>
        <v>0</v>
      </c>
      <c r="G40" s="704">
        <f>'Decentralisation '!AC16</f>
        <v>4830000</v>
      </c>
      <c r="H40" s="704">
        <f>'Decentralisation '!AD16</f>
        <v>1542000</v>
      </c>
      <c r="I40" s="704">
        <f>'Decentralisation '!AG16</f>
        <v>905000</v>
      </c>
      <c r="J40" s="704">
        <f>'Decentralisation '!AJ16</f>
        <v>0</v>
      </c>
      <c r="K40" s="704">
        <f>'Decentralisation '!AK16</f>
        <v>0</v>
      </c>
      <c r="L40" s="731">
        <f t="shared" si="2"/>
        <v>8127900</v>
      </c>
      <c r="M40" s="685">
        <f t="shared" si="3"/>
        <v>0</v>
      </c>
    </row>
    <row r="41" spans="2:13" ht="15">
      <c r="B41" s="703" t="s">
        <v>678</v>
      </c>
      <c r="C41" s="704">
        <f>'Transparency &amp; Anti-corruption '!J26</f>
        <v>0</v>
      </c>
      <c r="D41" s="704">
        <f>'Transparency &amp; Anti-corruption '!S26</f>
        <v>4450</v>
      </c>
      <c r="E41" s="704">
        <f>'Transparency &amp; Anti-corruption '!V26+'Transparency &amp; Anti-corruption '!Y26</f>
        <v>485750</v>
      </c>
      <c r="F41" s="704">
        <f>'Transparency &amp; Anti-corruption '!AB26</f>
        <v>0</v>
      </c>
      <c r="G41" s="704">
        <f>'Transparency &amp; Anti-corruption '!AC26</f>
        <v>0</v>
      </c>
      <c r="H41" s="704">
        <f>'Transparency &amp; Anti-corruption '!AD26</f>
        <v>674000</v>
      </c>
      <c r="I41" s="704">
        <f>'Transparency &amp; Anti-corruption '!AG26</f>
        <v>200000</v>
      </c>
      <c r="J41" s="704">
        <f>'Transparency &amp; Anti-corruption '!AJ26</f>
        <v>0</v>
      </c>
      <c r="K41" s="704">
        <f>'Transparency &amp; Anti-corruption '!AK26</f>
        <v>2007950</v>
      </c>
      <c r="L41" s="731">
        <f t="shared" si="2"/>
        <v>3372150</v>
      </c>
      <c r="M41" s="685">
        <f t="shared" si="3"/>
        <v>0</v>
      </c>
    </row>
    <row r="42" spans="2:13" ht="15.75" thickBot="1">
      <c r="B42" s="705"/>
      <c r="C42" s="706">
        <f aca="true" t="shared" si="4" ref="C42:L42">SUM(C36:C41)</f>
        <v>3766920</v>
      </c>
      <c r="D42" s="706">
        <f t="shared" si="4"/>
        <v>2095281</v>
      </c>
      <c r="E42" s="706">
        <f t="shared" si="4"/>
        <v>24885381.257142857</v>
      </c>
      <c r="F42" s="706">
        <f t="shared" si="4"/>
        <v>590228</v>
      </c>
      <c r="G42" s="706">
        <f t="shared" si="4"/>
        <v>23182740</v>
      </c>
      <c r="H42" s="706">
        <f t="shared" si="4"/>
        <v>11777015</v>
      </c>
      <c r="I42" s="706">
        <f t="shared" si="4"/>
        <v>6516639</v>
      </c>
      <c r="J42" s="706">
        <f t="shared" si="4"/>
        <v>66640</v>
      </c>
      <c r="K42" s="706">
        <f t="shared" si="4"/>
        <v>6763670.142857143</v>
      </c>
      <c r="L42" s="732">
        <f t="shared" si="4"/>
        <v>79644514.4</v>
      </c>
      <c r="M42" s="685">
        <f t="shared" si="3"/>
        <v>0</v>
      </c>
    </row>
    <row r="43" spans="2:13" ht="15.75" thickBot="1">
      <c r="B43" s="817" t="s">
        <v>688</v>
      </c>
      <c r="C43" s="818"/>
      <c r="D43" s="818"/>
      <c r="E43" s="818"/>
      <c r="F43" s="818"/>
      <c r="G43" s="818"/>
      <c r="H43" s="818"/>
      <c r="I43" s="818"/>
      <c r="J43" s="818"/>
      <c r="K43" s="818"/>
      <c r="L43" s="819"/>
      <c r="M43" s="685"/>
    </row>
    <row r="44" spans="2:12" ht="24.75">
      <c r="B44" s="701" t="s">
        <v>679</v>
      </c>
      <c r="C44" s="707">
        <f>C36/$L$36</f>
        <v>0</v>
      </c>
      <c r="D44" s="707">
        <f aca="true" t="shared" si="5" ref="D44:K44">D36/$L$36</f>
        <v>0.045945260914952935</v>
      </c>
      <c r="E44" s="707">
        <f t="shared" si="5"/>
        <v>0.6933760637863706</v>
      </c>
      <c r="F44" s="707">
        <f t="shared" si="5"/>
        <v>0.003436765659837527</v>
      </c>
      <c r="G44" s="707">
        <f t="shared" si="5"/>
        <v>0</v>
      </c>
      <c r="H44" s="707">
        <f t="shared" si="5"/>
        <v>0.1053368674740202</v>
      </c>
      <c r="I44" s="707">
        <f t="shared" si="5"/>
        <v>0.03436765659837527</v>
      </c>
      <c r="J44" s="707">
        <f t="shared" si="5"/>
        <v>0</v>
      </c>
      <c r="K44" s="707">
        <f t="shared" si="5"/>
        <v>0.11753738556644341</v>
      </c>
      <c r="L44" s="730">
        <f aca="true" t="shared" si="6" ref="L44:L49">SUM(C44:K44)</f>
        <v>0.9999999999999999</v>
      </c>
    </row>
    <row r="45" spans="2:12" ht="24.75">
      <c r="B45" s="703" t="s">
        <v>674</v>
      </c>
      <c r="C45" s="708">
        <f>C37/$L$37</f>
        <v>0.07279116719625611</v>
      </c>
      <c r="D45" s="708">
        <f aca="true" t="shared" si="7" ref="D45:K45">D37/$L$37</f>
        <v>0.5069449850424261</v>
      </c>
      <c r="E45" s="708">
        <f t="shared" si="7"/>
        <v>0.14175776514940894</v>
      </c>
      <c r="F45" s="708">
        <f t="shared" si="7"/>
        <v>0.004043953733125339</v>
      </c>
      <c r="G45" s="708">
        <f t="shared" si="7"/>
        <v>0.07076919032969343</v>
      </c>
      <c r="H45" s="708">
        <f t="shared" si="7"/>
        <v>0.07076919032969343</v>
      </c>
      <c r="I45" s="708">
        <f t="shared" si="7"/>
        <v>0.03942854889797206</v>
      </c>
      <c r="J45" s="708">
        <f t="shared" si="7"/>
        <v>0.016175814932501358</v>
      </c>
      <c r="K45" s="708">
        <f t="shared" si="7"/>
        <v>0.0773193843889232</v>
      </c>
      <c r="L45" s="731">
        <f t="shared" si="6"/>
        <v>1</v>
      </c>
    </row>
    <row r="46" spans="2:12" ht="36.75">
      <c r="B46" s="703" t="s">
        <v>675</v>
      </c>
      <c r="C46" s="708">
        <f>C38/$L$38</f>
        <v>0.023883720778516415</v>
      </c>
      <c r="D46" s="708">
        <f aca="true" t="shared" si="8" ref="D46:K46">D38/$L$38</f>
        <v>0.08141059245227983</v>
      </c>
      <c r="E46" s="708">
        <f t="shared" si="8"/>
        <v>0.8364340942494061</v>
      </c>
      <c r="F46" s="708">
        <f t="shared" si="8"/>
        <v>0.016539845215060557</v>
      </c>
      <c r="G46" s="708">
        <f t="shared" si="8"/>
        <v>0</v>
      </c>
      <c r="H46" s="708">
        <f t="shared" si="8"/>
        <v>0.02303599612125426</v>
      </c>
      <c r="I46" s="708">
        <f t="shared" si="8"/>
        <v>0</v>
      </c>
      <c r="J46" s="708">
        <f t="shared" si="8"/>
        <v>0</v>
      </c>
      <c r="K46" s="708">
        <f t="shared" si="8"/>
        <v>0.018695751183482854</v>
      </c>
      <c r="L46" s="731">
        <f t="shared" si="6"/>
        <v>1</v>
      </c>
    </row>
    <row r="47" spans="2:12" ht="15">
      <c r="B47" s="703" t="s">
        <v>676</v>
      </c>
      <c r="C47" s="708">
        <f>C39/$L$39</f>
        <v>0.06805652749359155</v>
      </c>
      <c r="D47" s="708">
        <f aca="true" t="shared" si="9" ref="D47:K47">D39/$L$39</f>
        <v>0.003966774932112241</v>
      </c>
      <c r="E47" s="708">
        <f t="shared" si="9"/>
        <v>0.2086678199979209</v>
      </c>
      <c r="F47" s="708">
        <f t="shared" si="9"/>
        <v>0.0076605092279177795</v>
      </c>
      <c r="G47" s="708">
        <f t="shared" si="9"/>
        <v>0.36215401647054646</v>
      </c>
      <c r="H47" s="708">
        <f t="shared" si="9"/>
        <v>0.17090820557630432</v>
      </c>
      <c r="I47" s="708">
        <f t="shared" si="9"/>
        <v>0.1024623218184031</v>
      </c>
      <c r="J47" s="708">
        <f t="shared" si="9"/>
        <v>0.0010031034404070984</v>
      </c>
      <c r="K47" s="708">
        <f t="shared" si="9"/>
        <v>0.07512072104279655</v>
      </c>
      <c r="L47" s="731">
        <f t="shared" si="6"/>
        <v>1</v>
      </c>
    </row>
    <row r="48" spans="2:12" ht="15">
      <c r="B48" s="703" t="s">
        <v>677</v>
      </c>
      <c r="C48" s="708">
        <f>C40/$L$40</f>
        <v>0</v>
      </c>
      <c r="D48" s="708">
        <f aca="true" t="shared" si="10" ref="D48:K48">D40/$L$40</f>
        <v>0.029312614574490335</v>
      </c>
      <c r="E48" s="708">
        <f t="shared" si="10"/>
        <v>0.07537617342733055</v>
      </c>
      <c r="F48" s="708">
        <f t="shared" si="10"/>
        <v>0</v>
      </c>
      <c r="G48" s="708">
        <f t="shared" si="10"/>
        <v>0.5942494371239804</v>
      </c>
      <c r="H48" s="708">
        <f t="shared" si="10"/>
        <v>0.18971690104455025</v>
      </c>
      <c r="I48" s="708">
        <f t="shared" si="10"/>
        <v>0.1113448738296485</v>
      </c>
      <c r="J48" s="708">
        <f t="shared" si="10"/>
        <v>0</v>
      </c>
      <c r="K48" s="708">
        <f t="shared" si="10"/>
        <v>0</v>
      </c>
      <c r="L48" s="731">
        <f t="shared" si="6"/>
        <v>1</v>
      </c>
    </row>
    <row r="49" spans="2:12" ht="15">
      <c r="B49" s="703" t="s">
        <v>678</v>
      </c>
      <c r="C49" s="708">
        <f>C41/$L$41</f>
        <v>0</v>
      </c>
      <c r="D49" s="708">
        <f aca="true" t="shared" si="11" ref="D49:K49">D41/$L$41</f>
        <v>0.001319632875168661</v>
      </c>
      <c r="E49" s="708">
        <f t="shared" si="11"/>
        <v>0.14404756609284877</v>
      </c>
      <c r="F49" s="708">
        <f t="shared" si="11"/>
        <v>0</v>
      </c>
      <c r="G49" s="708">
        <f t="shared" si="11"/>
        <v>0</v>
      </c>
      <c r="H49" s="708">
        <f t="shared" si="11"/>
        <v>0.19987248491318596</v>
      </c>
      <c r="I49" s="708">
        <f t="shared" si="11"/>
        <v>0.05930934270420948</v>
      </c>
      <c r="J49" s="708">
        <f t="shared" si="11"/>
        <v>0</v>
      </c>
      <c r="K49" s="708">
        <f t="shared" si="11"/>
        <v>0.5954509734145871</v>
      </c>
      <c r="L49" s="731">
        <f t="shared" si="6"/>
        <v>1</v>
      </c>
    </row>
    <row r="50" spans="2:12" ht="15">
      <c r="B50" s="709"/>
      <c r="C50" s="704">
        <f aca="true" t="shared" si="12" ref="C50:L50">SUM(C44:C49)</f>
        <v>0.16473141546836406</v>
      </c>
      <c r="D50" s="704">
        <f t="shared" si="12"/>
        <v>0.6688998607914302</v>
      </c>
      <c r="E50" s="704">
        <f t="shared" si="12"/>
        <v>2.0996594827032857</v>
      </c>
      <c r="F50" s="704">
        <f t="shared" si="12"/>
        <v>0.0316810738359412</v>
      </c>
      <c r="G50" s="704">
        <f t="shared" si="12"/>
        <v>1.0271726439242204</v>
      </c>
      <c r="H50" s="704">
        <f t="shared" si="12"/>
        <v>0.7596396454590085</v>
      </c>
      <c r="I50" s="704">
        <f t="shared" si="12"/>
        <v>0.3469127438486085</v>
      </c>
      <c r="J50" s="704">
        <f t="shared" si="12"/>
        <v>0.017178918372908455</v>
      </c>
      <c r="K50" s="704">
        <f t="shared" si="12"/>
        <v>0.8841242155962331</v>
      </c>
      <c r="L50" s="731">
        <f t="shared" si="12"/>
        <v>6</v>
      </c>
    </row>
    <row r="52" ht="15.75" thickBot="1">
      <c r="B52" s="686" t="s">
        <v>689</v>
      </c>
    </row>
    <row r="53" spans="2:3" ht="15.75" thickBot="1">
      <c r="B53" s="719"/>
      <c r="C53" s="737" t="s">
        <v>1</v>
      </c>
    </row>
    <row r="54" spans="2:3" ht="15">
      <c r="B54" s="714" t="s">
        <v>690</v>
      </c>
      <c r="C54" s="736">
        <f>D30</f>
        <v>18818158.4012</v>
      </c>
    </row>
    <row r="55" spans="2:3" ht="15">
      <c r="B55" s="711" t="s">
        <v>227</v>
      </c>
      <c r="C55" s="734">
        <f>E30</f>
        <v>5394266.25</v>
      </c>
    </row>
    <row r="56" spans="2:3" ht="15">
      <c r="B56" s="711" t="s">
        <v>594</v>
      </c>
      <c r="C56" s="734">
        <f>F30</f>
        <v>315000</v>
      </c>
    </row>
    <row r="57" spans="2:3" ht="15">
      <c r="B57" s="711" t="s">
        <v>661</v>
      </c>
      <c r="C57" s="734">
        <f>G30</f>
        <v>18053278</v>
      </c>
    </row>
    <row r="58" spans="2:3" ht="15">
      <c r="B58" s="711" t="str">
        <f>H23</f>
        <v>UNDP</v>
      </c>
      <c r="C58" s="734">
        <f>H30</f>
        <v>916078</v>
      </c>
    </row>
    <row r="59" spans="2:3" ht="15.75" thickBot="1">
      <c r="B59" s="713" t="s">
        <v>262</v>
      </c>
      <c r="C59" s="735">
        <f>I30</f>
        <v>36147733.748799995</v>
      </c>
    </row>
  </sheetData>
  <sheetProtection/>
  <mergeCells count="9">
    <mergeCell ref="C34:K34"/>
    <mergeCell ref="L34:L35"/>
    <mergeCell ref="B43:L43"/>
    <mergeCell ref="B5:B6"/>
    <mergeCell ref="C5:C6"/>
    <mergeCell ref="D5:I5"/>
    <mergeCell ref="B22:B23"/>
    <mergeCell ref="C22:C23"/>
    <mergeCell ref="D22:I22"/>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T201"/>
  <sheetViews>
    <sheetView zoomScaleSheetLayoutView="100" zoomScalePageLayoutView="70" workbookViewId="0" topLeftCell="A1">
      <selection activeCell="J200" sqref="J200"/>
    </sheetView>
  </sheetViews>
  <sheetFormatPr defaultColWidth="9.140625" defaultRowHeight="15.75" customHeight="1"/>
  <cols>
    <col min="1" max="1" width="5.00390625" style="55" customWidth="1"/>
    <col min="2" max="2" width="24.140625" style="201" customWidth="1"/>
    <col min="3" max="3" width="7.421875" style="202" customWidth="1"/>
    <col min="4" max="4" width="35.140625" style="129" customWidth="1"/>
    <col min="5" max="5" width="16.421875" style="129" customWidth="1"/>
    <col min="6" max="6" width="17.7109375" style="219" customWidth="1"/>
    <col min="7" max="7" width="17.140625" style="220" customWidth="1"/>
    <col min="8" max="8" width="13.8515625" style="220" bestFit="1" customWidth="1"/>
    <col min="9" max="9" width="14.7109375" style="220" customWidth="1"/>
    <col min="10" max="10" width="15.00390625" style="220" bestFit="1" customWidth="1"/>
    <col min="11" max="11" width="16.421875" style="220" customWidth="1"/>
    <col min="12" max="12" width="16.57421875" style="221" customWidth="1"/>
    <col min="13" max="13" width="15.57421875" style="45" hidden="1" customWidth="1"/>
    <col min="14" max="14" width="17.57421875" style="45" hidden="1" customWidth="1"/>
    <col min="15" max="15" width="14.421875" style="45" hidden="1" customWidth="1"/>
    <col min="16" max="16" width="13.8515625" style="45" hidden="1" customWidth="1"/>
    <col min="17" max="17" width="15.28125" style="45" hidden="1" customWidth="1"/>
    <col min="18" max="18" width="14.7109375" style="45" hidden="1" customWidth="1"/>
    <col min="19" max="19" width="16.28125" style="45" hidden="1" customWidth="1"/>
    <col min="20" max="16384" width="9.140625" style="45" customWidth="1"/>
  </cols>
  <sheetData>
    <row r="1" ht="11.25" customHeight="1"/>
    <row r="2" spans="1:12" ht="31.5" customHeight="1">
      <c r="A2" s="148"/>
      <c r="B2" s="853" t="s">
        <v>696</v>
      </c>
      <c r="C2" s="853"/>
      <c r="D2" s="853"/>
      <c r="E2" s="853"/>
      <c r="F2" s="853"/>
      <c r="G2" s="372"/>
      <c r="H2" s="372"/>
      <c r="I2" s="372"/>
      <c r="J2" s="372"/>
      <c r="K2" s="372"/>
      <c r="L2" s="373"/>
    </row>
    <row r="3" spans="1:12" s="149" customFormat="1" ht="15.75" customHeight="1">
      <c r="A3" s="880" t="s">
        <v>3</v>
      </c>
      <c r="B3" s="880" t="s">
        <v>590</v>
      </c>
      <c r="C3" s="880" t="s">
        <v>591</v>
      </c>
      <c r="D3" s="880"/>
      <c r="E3" s="881" t="s">
        <v>592</v>
      </c>
      <c r="F3" s="854" t="s">
        <v>593</v>
      </c>
      <c r="G3" s="866" t="s">
        <v>325</v>
      </c>
      <c r="H3" s="867"/>
      <c r="I3" s="867"/>
      <c r="J3" s="867"/>
      <c r="K3" s="867"/>
      <c r="L3" s="868"/>
    </row>
    <row r="4" spans="1:12" s="150" customFormat="1" ht="15.75" customHeight="1">
      <c r="A4" s="880"/>
      <c r="B4" s="880"/>
      <c r="C4" s="880"/>
      <c r="D4" s="880"/>
      <c r="E4" s="882"/>
      <c r="F4" s="854"/>
      <c r="G4" s="869"/>
      <c r="H4" s="870"/>
      <c r="I4" s="870"/>
      <c r="J4" s="870"/>
      <c r="K4" s="870"/>
      <c r="L4" s="871"/>
    </row>
    <row r="5" spans="1:12" s="150" customFormat="1" ht="8.25" customHeight="1">
      <c r="A5" s="880"/>
      <c r="B5" s="880"/>
      <c r="C5" s="880"/>
      <c r="D5" s="880"/>
      <c r="E5" s="882"/>
      <c r="F5" s="854"/>
      <c r="G5" s="872"/>
      <c r="H5" s="873"/>
      <c r="I5" s="873"/>
      <c r="J5" s="873"/>
      <c r="K5" s="873"/>
      <c r="L5" s="874"/>
    </row>
    <row r="6" spans="1:12" s="150" customFormat="1" ht="21" customHeight="1">
      <c r="A6" s="880"/>
      <c r="B6" s="880"/>
      <c r="C6" s="880"/>
      <c r="D6" s="880"/>
      <c r="E6" s="882"/>
      <c r="F6" s="854"/>
      <c r="G6" s="877" t="s">
        <v>261</v>
      </c>
      <c r="H6" s="683"/>
      <c r="I6" s="683"/>
      <c r="J6" s="683"/>
      <c r="K6" s="683"/>
      <c r="L6" s="879" t="s">
        <v>262</v>
      </c>
    </row>
    <row r="7" spans="1:12" s="151" customFormat="1" ht="28.5" customHeight="1">
      <c r="A7" s="880"/>
      <c r="B7" s="880"/>
      <c r="C7" s="880"/>
      <c r="D7" s="880"/>
      <c r="E7" s="883"/>
      <c r="F7" s="854"/>
      <c r="G7" s="878"/>
      <c r="H7" s="684" t="s">
        <v>207</v>
      </c>
      <c r="I7" s="684" t="s">
        <v>594</v>
      </c>
      <c r="J7" s="684" t="s">
        <v>205</v>
      </c>
      <c r="K7" s="684" t="s">
        <v>206</v>
      </c>
      <c r="L7" s="879" t="s">
        <v>262</v>
      </c>
    </row>
    <row r="8" spans="1:12" s="152" customFormat="1" ht="24.75" customHeight="1">
      <c r="A8" s="561">
        <v>1</v>
      </c>
      <c r="B8" s="561">
        <v>2</v>
      </c>
      <c r="C8" s="561">
        <v>3</v>
      </c>
      <c r="D8" s="561">
        <v>4</v>
      </c>
      <c r="E8" s="561"/>
      <c r="F8" s="671">
        <v>5</v>
      </c>
      <c r="G8" s="561">
        <v>6</v>
      </c>
      <c r="H8" s="671">
        <v>7</v>
      </c>
      <c r="I8" s="561">
        <v>8</v>
      </c>
      <c r="J8" s="671">
        <v>9</v>
      </c>
      <c r="K8" s="561">
        <v>10</v>
      </c>
      <c r="L8" s="671">
        <v>11</v>
      </c>
    </row>
    <row r="9" spans="1:12" s="152" customFormat="1" ht="33" customHeight="1">
      <c r="A9" s="374">
        <v>1</v>
      </c>
      <c r="B9" s="875" t="s">
        <v>399</v>
      </c>
      <c r="C9" s="875"/>
      <c r="D9" s="875"/>
      <c r="E9" s="875"/>
      <c r="F9" s="875"/>
      <c r="G9" s="875"/>
      <c r="H9" s="875"/>
      <c r="I9" s="875"/>
      <c r="J9" s="875"/>
      <c r="K9" s="875"/>
      <c r="L9" s="876"/>
    </row>
    <row r="10" spans="1:12" s="150" customFormat="1" ht="30" customHeight="1">
      <c r="A10" s="855">
        <v>1.1</v>
      </c>
      <c r="B10" s="856" t="s">
        <v>595</v>
      </c>
      <c r="C10" s="412" t="s">
        <v>17</v>
      </c>
      <c r="D10" s="407" t="str">
        <f>'Policy&amp;Monitoring&amp;Legislation'!F10</f>
        <v>Analysis of the situation evaluation</v>
      </c>
      <c r="E10" s="560"/>
      <c r="F10" s="375">
        <f>'Policy&amp;Monitoring&amp;Legislation'!AN10</f>
        <v>149500</v>
      </c>
      <c r="G10" s="375">
        <f>'Policy&amp;Monitoring&amp;Legislation'!AO10</f>
        <v>0</v>
      </c>
      <c r="H10" s="375">
        <f>'Policy&amp;Monitoring&amp;Legislation'!AP10</f>
        <v>0</v>
      </c>
      <c r="I10" s="375">
        <f>'Policy&amp;Monitoring&amp;Legislation'!AQ10</f>
        <v>0</v>
      </c>
      <c r="J10" s="375">
        <f>'Policy&amp;Monitoring&amp;Legislation'!AR10</f>
        <v>25000</v>
      </c>
      <c r="K10" s="375">
        <f>'Policy&amp;Monitoring&amp;Legislation'!AS10</f>
        <v>0</v>
      </c>
      <c r="L10" s="375">
        <f>'Policy&amp;Monitoring&amp;Legislation'!AT10</f>
        <v>124500</v>
      </c>
    </row>
    <row r="11" spans="1:12" s="153" customFormat="1" ht="63.75" customHeight="1">
      <c r="A11" s="855"/>
      <c r="B11" s="858"/>
      <c r="C11" s="412" t="s">
        <v>30</v>
      </c>
      <c r="D11" s="407" t="str">
        <f>'Policy&amp;Monitoring&amp;Legislation'!F11</f>
        <v>Reviewed regulatory framework for sector and crosscutting strategies (Review of the Order on drafting sector and crosscutting strategies)</v>
      </c>
      <c r="E11" s="560"/>
      <c r="F11" s="375">
        <f>'Policy&amp;Monitoring&amp;Legislation'!AN11</f>
        <v>25000</v>
      </c>
      <c r="G11" s="375"/>
      <c r="H11" s="375">
        <f>'Policy&amp;Monitoring&amp;Legislation'!AP11</f>
        <v>0</v>
      </c>
      <c r="I11" s="375">
        <f>'Policy&amp;Monitoring&amp;Legislation'!AQ11</f>
        <v>0</v>
      </c>
      <c r="J11" s="375">
        <f>'Policy&amp;Monitoring&amp;Legislation'!AR11</f>
        <v>25000</v>
      </c>
      <c r="K11" s="375">
        <f>'Policy&amp;Monitoring&amp;Legislation'!AS11</f>
        <v>0</v>
      </c>
      <c r="L11" s="375">
        <f>'Policy&amp;Monitoring&amp;Legislation'!AT11</f>
        <v>0</v>
      </c>
    </row>
    <row r="12" spans="1:12" s="154" customFormat="1" ht="67.5" customHeight="1">
      <c r="A12" s="855"/>
      <c r="B12" s="858"/>
      <c r="C12" s="412" t="s">
        <v>31</v>
      </c>
      <c r="D12" s="407" t="str">
        <f>'Policy&amp;Monitoring&amp;Legislation'!F12</f>
        <v>Reviewing the functioning of other cross-cutting groups within the IMPG (Integrated Management Policy Groups) (including all the cycle of policy programming   - implementation - monitoring)</v>
      </c>
      <c r="E12" s="560"/>
      <c r="F12" s="375">
        <f>'Policy&amp;Monitoring&amp;Legislation'!AN12</f>
        <v>1041000</v>
      </c>
      <c r="G12" s="375">
        <f>'Policy&amp;Monitoring&amp;Legislation'!AO12</f>
        <v>7000</v>
      </c>
      <c r="H12" s="375">
        <f>'Policy&amp;Monitoring&amp;Legislation'!AP12</f>
        <v>0</v>
      </c>
      <c r="I12" s="375">
        <f>'Policy&amp;Monitoring&amp;Legislation'!AQ12</f>
        <v>0</v>
      </c>
      <c r="J12" s="375">
        <f>'Policy&amp;Monitoring&amp;Legislation'!AR12</f>
        <v>0</v>
      </c>
      <c r="K12" s="375">
        <f>'Policy&amp;Monitoring&amp;Legislation'!AS12</f>
        <v>0</v>
      </c>
      <c r="L12" s="375">
        <f>'Policy&amp;Monitoring&amp;Legislation'!AT12</f>
        <v>1034000</v>
      </c>
    </row>
    <row r="13" spans="1:12" s="155" customFormat="1" ht="25.5">
      <c r="A13" s="855"/>
      <c r="B13" s="858"/>
      <c r="C13" s="412" t="s">
        <v>32</v>
      </c>
      <c r="D13" s="407" t="str">
        <f>'Policy&amp;Monitoring&amp;Legislation'!F13</f>
        <v>Assistance for the operation of IPMG pilot (water, social, competitiveness)</v>
      </c>
      <c r="E13" s="560"/>
      <c r="F13" s="375">
        <f>'Policy&amp;Monitoring&amp;Legislation'!AN13</f>
        <v>450000</v>
      </c>
      <c r="G13" s="375">
        <f>'Policy&amp;Monitoring&amp;Legislation'!AO13</f>
        <v>0</v>
      </c>
      <c r="H13" s="375">
        <f>'Policy&amp;Monitoring&amp;Legislation'!AP13</f>
        <v>450000</v>
      </c>
      <c r="I13" s="375">
        <f>'Policy&amp;Monitoring&amp;Legislation'!AQ13</f>
        <v>0</v>
      </c>
      <c r="J13" s="375">
        <f>'Policy&amp;Monitoring&amp;Legislation'!AR13</f>
        <v>0</v>
      </c>
      <c r="K13" s="375">
        <f>'Policy&amp;Monitoring&amp;Legislation'!AS13</f>
        <v>0</v>
      </c>
      <c r="L13" s="375">
        <f>'Policy&amp;Monitoring&amp;Legislation'!AT13</f>
        <v>0</v>
      </c>
    </row>
    <row r="14" spans="1:12" s="155" customFormat="1" ht="35.25" customHeight="1">
      <c r="A14" s="855"/>
      <c r="B14" s="858"/>
      <c r="C14" s="412" t="s">
        <v>34</v>
      </c>
      <c r="D14" s="407" t="str">
        <f>'Policy&amp;Monitoring&amp;Legislation'!F14</f>
        <v>Assistance for the operation of other IPMGs</v>
      </c>
      <c r="E14" s="560"/>
      <c r="F14" s="375">
        <f>'Policy&amp;Monitoring&amp;Legislation'!AN14</f>
        <v>1656375</v>
      </c>
      <c r="G14" s="375">
        <f>'Policy&amp;Monitoring&amp;Legislation'!AO14</f>
        <v>0</v>
      </c>
      <c r="H14" s="375">
        <f>'Policy&amp;Monitoring&amp;Legislation'!AP14</f>
        <v>0</v>
      </c>
      <c r="I14" s="375">
        <f>'Policy&amp;Monitoring&amp;Legislation'!AQ14</f>
        <v>0</v>
      </c>
      <c r="J14" s="375">
        <f>'Policy&amp;Monitoring&amp;Legislation'!AR14</f>
        <v>0</v>
      </c>
      <c r="K14" s="375">
        <f>'Policy&amp;Monitoring&amp;Legislation'!AS14</f>
        <v>0</v>
      </c>
      <c r="L14" s="375">
        <f>'Policy&amp;Monitoring&amp;Legislation'!AT14</f>
        <v>1656375</v>
      </c>
    </row>
    <row r="15" spans="1:12" ht="66.75" customHeight="1">
      <c r="A15" s="855"/>
      <c r="B15" s="858"/>
      <c r="C15" s="412" t="s">
        <v>112</v>
      </c>
      <c r="D15" s="407" t="str">
        <f>'Policy&amp;Monitoring&amp;Legislation'!F15</f>
        <v>Drafting of a training program for all  policymaking staff of line ministries (policy and coordination departments) for drafting of strategic documents and policies. </v>
      </c>
      <c r="E15" s="560"/>
      <c r="F15" s="375">
        <f>'Policy&amp;Monitoring&amp;Legislation'!AN15</f>
        <v>42000</v>
      </c>
      <c r="G15" s="375">
        <f>'Policy&amp;Monitoring&amp;Legislation'!AO15</f>
        <v>1000</v>
      </c>
      <c r="H15" s="375">
        <f>'Policy&amp;Monitoring&amp;Legislation'!AP15</f>
        <v>0</v>
      </c>
      <c r="I15" s="375">
        <f>'Policy&amp;Monitoring&amp;Legislation'!AQ15</f>
        <v>0</v>
      </c>
      <c r="J15" s="375">
        <f>'Policy&amp;Monitoring&amp;Legislation'!AR15</f>
        <v>0</v>
      </c>
      <c r="K15" s="375">
        <f>'Policy&amp;Monitoring&amp;Legislation'!AS15</f>
        <v>0</v>
      </c>
      <c r="L15" s="375">
        <f>'Policy&amp;Monitoring&amp;Legislation'!AT15</f>
        <v>41000</v>
      </c>
    </row>
    <row r="16" spans="1:12" ht="56.25" customHeight="1">
      <c r="A16" s="855"/>
      <c r="B16" s="858"/>
      <c r="C16" s="412" t="s">
        <v>113</v>
      </c>
      <c r="D16" s="407" t="str">
        <f>'Policy&amp;Monitoring&amp;Legislation'!F16</f>
        <v>Implementation of the Training Program for all policymaking staff of the line ministries (policies and coordination departments)</v>
      </c>
      <c r="E16" s="560"/>
      <c r="F16" s="375">
        <f>'Policy&amp;Monitoring&amp;Legislation'!AN16</f>
        <v>109700</v>
      </c>
      <c r="G16" s="375">
        <f>'Policy&amp;Monitoring&amp;Legislation'!AO16</f>
        <v>0</v>
      </c>
      <c r="H16" s="375">
        <f>'Policy&amp;Monitoring&amp;Legislation'!AP16</f>
        <v>0</v>
      </c>
      <c r="I16" s="375">
        <f>'Policy&amp;Monitoring&amp;Legislation'!AQ16</f>
        <v>0</v>
      </c>
      <c r="J16" s="375">
        <f>'Policy&amp;Monitoring&amp;Legislation'!AR16</f>
        <v>0</v>
      </c>
      <c r="K16" s="375">
        <f>'Policy&amp;Monitoring&amp;Legislation'!AS16</f>
        <v>0</v>
      </c>
      <c r="L16" s="375">
        <f>'Policy&amp;Monitoring&amp;Legislation'!AT16</f>
        <v>109700</v>
      </c>
    </row>
    <row r="17" spans="1:12" ht="31.5" customHeight="1">
      <c r="A17" s="855"/>
      <c r="B17" s="858"/>
      <c r="C17" s="412" t="s">
        <v>114</v>
      </c>
      <c r="D17" s="407" t="str">
        <f>'Policy&amp;Monitoring&amp;Legislation'!F17</f>
        <v>Drafting of cross-cutting strategies and documents </v>
      </c>
      <c r="E17" s="560"/>
      <c r="F17" s="375">
        <f>'Policy&amp;Monitoring&amp;Legislation'!AN17</f>
        <v>1662500</v>
      </c>
      <c r="G17" s="375">
        <f>'Policy&amp;Monitoring&amp;Legislation'!AO17</f>
        <v>0</v>
      </c>
      <c r="H17" s="375">
        <f>'Policy&amp;Monitoring&amp;Legislation'!AP17</f>
        <v>0</v>
      </c>
      <c r="I17" s="375">
        <f>'Policy&amp;Monitoring&amp;Legislation'!AQ17</f>
        <v>0</v>
      </c>
      <c r="J17" s="375">
        <f>'Policy&amp;Monitoring&amp;Legislation'!AR17</f>
        <v>0</v>
      </c>
      <c r="K17" s="375">
        <f>'Policy&amp;Monitoring&amp;Legislation'!AS17</f>
        <v>0</v>
      </c>
      <c r="L17" s="375">
        <f>'Policy&amp;Monitoring&amp;Legislation'!AT17</f>
        <v>1662500</v>
      </c>
    </row>
    <row r="18" spans="1:12" ht="25.5">
      <c r="A18" s="855"/>
      <c r="B18" s="858"/>
      <c r="C18" s="412" t="s">
        <v>115</v>
      </c>
      <c r="D18" s="407" t="str">
        <f>'Policy&amp;Monitoring&amp;Legislation'!F18</f>
        <v>Drafting of Integrated Management Plans (IMP) of line ministries</v>
      </c>
      <c r="E18" s="560"/>
      <c r="F18" s="375">
        <f>'Policy&amp;Monitoring&amp;Legislation'!AN18</f>
        <v>332500</v>
      </c>
      <c r="G18" s="375">
        <f>'Policy&amp;Monitoring&amp;Legislation'!AO18</f>
        <v>0</v>
      </c>
      <c r="H18" s="375">
        <f>'Policy&amp;Monitoring&amp;Legislation'!AP18</f>
        <v>0</v>
      </c>
      <c r="I18" s="375">
        <f>'Policy&amp;Monitoring&amp;Legislation'!AQ18</f>
        <v>0</v>
      </c>
      <c r="J18" s="375">
        <f>'Policy&amp;Monitoring&amp;Legislation'!AR18</f>
        <v>0</v>
      </c>
      <c r="K18" s="375">
        <f>'Policy&amp;Monitoring&amp;Legislation'!AS18</f>
        <v>0</v>
      </c>
      <c r="L18" s="375">
        <f>'Policy&amp;Monitoring&amp;Legislation'!AT18</f>
        <v>332500</v>
      </c>
    </row>
    <row r="19" spans="1:12" ht="30" customHeight="1">
      <c r="A19" s="855"/>
      <c r="B19" s="858"/>
      <c r="C19" s="412" t="s">
        <v>116</v>
      </c>
      <c r="D19" s="407" t="str">
        <f>'Policy&amp;Monitoring&amp;Legislation'!F19</f>
        <v>Publication of IMPs</v>
      </c>
      <c r="E19" s="560"/>
      <c r="F19" s="375">
        <f>'Policy&amp;Monitoring&amp;Legislation'!AN19</f>
        <v>28500</v>
      </c>
      <c r="G19" s="375">
        <f>'Policy&amp;Monitoring&amp;Legislation'!AO19</f>
        <v>0</v>
      </c>
      <c r="H19" s="375">
        <f>'Policy&amp;Monitoring&amp;Legislation'!AP19</f>
        <v>0</v>
      </c>
      <c r="I19" s="375">
        <f>'Policy&amp;Monitoring&amp;Legislation'!AQ19</f>
        <v>0</v>
      </c>
      <c r="J19" s="375">
        <f>'Policy&amp;Monitoring&amp;Legislation'!AR19</f>
        <v>0</v>
      </c>
      <c r="K19" s="375">
        <f>'Policy&amp;Monitoring&amp;Legislation'!AS19</f>
        <v>0</v>
      </c>
      <c r="L19" s="375">
        <f>'Policy&amp;Monitoring&amp;Legislation'!AT19</f>
        <v>28500</v>
      </c>
    </row>
    <row r="20" spans="1:12" ht="30.75" customHeight="1">
      <c r="A20" s="376"/>
      <c r="B20" s="411"/>
      <c r="C20" s="412" t="s">
        <v>120</v>
      </c>
      <c r="D20" s="407" t="str">
        <f>'Policy&amp;Monitoring&amp;Legislation'!F23</f>
        <v>Analysisi of the situation evaluation.</v>
      </c>
      <c r="E20" s="560"/>
      <c r="F20" s="375">
        <f>'Policy&amp;Monitoring&amp;Legislation'!AN23</f>
        <v>61500</v>
      </c>
      <c r="G20" s="375">
        <f>'Policy&amp;Monitoring&amp;Legislation'!AO23</f>
        <v>0</v>
      </c>
      <c r="H20" s="375">
        <f>'Policy&amp;Monitoring&amp;Legislation'!AP23</f>
        <v>0</v>
      </c>
      <c r="I20" s="375">
        <f>'Policy&amp;Monitoring&amp;Legislation'!AQ23</f>
        <v>0</v>
      </c>
      <c r="J20" s="375">
        <f>'Policy&amp;Monitoring&amp;Legislation'!AR23</f>
        <v>0</v>
      </c>
      <c r="K20" s="375">
        <f>'Policy&amp;Monitoring&amp;Legislation'!AS23</f>
        <v>0</v>
      </c>
      <c r="L20" s="375">
        <f>'Policy&amp;Monitoring&amp;Legislation'!AT23</f>
        <v>61500</v>
      </c>
    </row>
    <row r="21" spans="1:12" ht="38.25">
      <c r="A21" s="376"/>
      <c r="B21" s="411"/>
      <c r="C21" s="412" t="s">
        <v>121</v>
      </c>
      <c r="D21" s="407" t="str">
        <f>'Policy&amp;Monitoring&amp;Legislation'!F24</f>
        <v>Reviewing of the relevant institutional and legal framework (drafting of a new Order, IPS Manual, Review of Annual Calendar of IPS) </v>
      </c>
      <c r="E21" s="560"/>
      <c r="F21" s="375">
        <f>'Policy&amp;Monitoring&amp;Legislation'!AN24</f>
        <v>49000</v>
      </c>
      <c r="G21" s="375">
        <f>'Policy&amp;Monitoring&amp;Legislation'!AO24</f>
        <v>0</v>
      </c>
      <c r="H21" s="375">
        <f>'Policy&amp;Monitoring&amp;Legislation'!AP24</f>
        <v>0</v>
      </c>
      <c r="I21" s="375">
        <f>'Policy&amp;Monitoring&amp;Legislation'!AQ24</f>
        <v>0</v>
      </c>
      <c r="J21" s="375">
        <f>'Policy&amp;Monitoring&amp;Legislation'!AR24</f>
        <v>0</v>
      </c>
      <c r="K21" s="375">
        <f>'Policy&amp;Monitoring&amp;Legislation'!AS24</f>
        <v>0</v>
      </c>
      <c r="L21" s="375">
        <f>'Policy&amp;Monitoring&amp;Legislation'!AT24</f>
        <v>49000</v>
      </c>
    </row>
    <row r="22" spans="1:12" ht="25.5" customHeight="1">
      <c r="A22" s="376"/>
      <c r="B22" s="411"/>
      <c r="C22" s="841" t="s">
        <v>122</v>
      </c>
      <c r="D22" s="856" t="str">
        <f>'Policy&amp;Monitoring&amp;Legislation'!F25</f>
        <v>Implementation of the new system and capacity building</v>
      </c>
      <c r="E22" s="562"/>
      <c r="F22" s="375">
        <f>'Policy&amp;Monitoring&amp;Legislation'!AN25</f>
        <v>130200</v>
      </c>
      <c r="G22" s="375">
        <f>'Policy&amp;Monitoring&amp;Legislation'!AO25</f>
        <v>0</v>
      </c>
      <c r="H22" s="375">
        <f>'Policy&amp;Monitoring&amp;Legislation'!AP25</f>
        <v>0</v>
      </c>
      <c r="I22" s="375">
        <f>'Policy&amp;Monitoring&amp;Legislation'!AQ25</f>
        <v>0</v>
      </c>
      <c r="J22" s="375">
        <f>'Policy&amp;Monitoring&amp;Legislation'!AR25</f>
        <v>0</v>
      </c>
      <c r="K22" s="375">
        <f>'Policy&amp;Monitoring&amp;Legislation'!AS25</f>
        <v>0</v>
      </c>
      <c r="L22" s="375">
        <f>'Policy&amp;Monitoring&amp;Legislation'!AT25</f>
        <v>130200</v>
      </c>
    </row>
    <row r="23" spans="1:12" ht="36" customHeight="1">
      <c r="A23" s="376"/>
      <c r="B23" s="411"/>
      <c r="C23" s="842"/>
      <c r="D23" s="857"/>
      <c r="E23" s="563"/>
      <c r="F23" s="375">
        <f>'Policy&amp;Monitoring&amp;Legislation'!AN26</f>
        <v>367200</v>
      </c>
      <c r="G23" s="375">
        <f>'Policy&amp;Monitoring&amp;Legislation'!AO26</f>
        <v>0</v>
      </c>
      <c r="H23" s="375">
        <f>'Policy&amp;Monitoring&amp;Legislation'!AP26</f>
        <v>0</v>
      </c>
      <c r="I23" s="375">
        <f>'Policy&amp;Monitoring&amp;Legislation'!AQ26</f>
        <v>0</v>
      </c>
      <c r="J23" s="375">
        <f>'Policy&amp;Monitoring&amp;Legislation'!AR26</f>
        <v>0</v>
      </c>
      <c r="K23" s="375">
        <f>'Policy&amp;Monitoring&amp;Legislation'!AS26</f>
        <v>0</v>
      </c>
      <c r="L23" s="375">
        <f>'Policy&amp;Monitoring&amp;Legislation'!AT26</f>
        <v>367200</v>
      </c>
    </row>
    <row r="24" spans="1:12" ht="38.25">
      <c r="A24" s="836">
        <v>1.2</v>
      </c>
      <c r="B24" s="843" t="s">
        <v>596</v>
      </c>
      <c r="C24" s="407" t="s">
        <v>35</v>
      </c>
      <c r="D24" s="407" t="str">
        <f>'Policy&amp;Monitoring&amp;Legislation'!F20</f>
        <v>Drafting of sectoral and cross-cutting analysis for the mid-term implementation (stage 2014/15-2016)</v>
      </c>
      <c r="E24" s="560"/>
      <c r="F24" s="375">
        <f>'Policy&amp;Monitoring&amp;Legislation'!AN20</f>
        <v>227500</v>
      </c>
      <c r="G24" s="375">
        <f>'Policy&amp;Monitoring&amp;Legislation'!AO20</f>
        <v>0</v>
      </c>
      <c r="H24" s="375">
        <f>'Policy&amp;Monitoring&amp;Legislation'!AP20</f>
        <v>0</v>
      </c>
      <c r="I24" s="375">
        <f>'Policy&amp;Monitoring&amp;Legislation'!AQ20</f>
        <v>0</v>
      </c>
      <c r="J24" s="375">
        <f>'Policy&amp;Monitoring&amp;Legislation'!AR20</f>
        <v>0</v>
      </c>
      <c r="K24" s="375">
        <f>'Policy&amp;Monitoring&amp;Legislation'!AS20</f>
        <v>0</v>
      </c>
      <c r="L24" s="375">
        <f>'Policy&amp;Monitoring&amp;Legislation'!AT20</f>
        <v>227500</v>
      </c>
    </row>
    <row r="25" spans="1:12" ht="25.5" customHeight="1">
      <c r="A25" s="836"/>
      <c r="B25" s="843"/>
      <c r="C25" s="407" t="s">
        <v>36</v>
      </c>
      <c r="D25" s="407" t="str">
        <f>'Policy&amp;Monitoring&amp;Legislation'!F21</f>
        <v>Mid-term analysis of the implementation of the NSDI 2014-2020 </v>
      </c>
      <c r="E25" s="560"/>
      <c r="F25" s="375">
        <f>'Policy&amp;Monitoring&amp;Legislation'!AN21</f>
        <v>71000</v>
      </c>
      <c r="G25" s="375">
        <f>'Policy&amp;Monitoring&amp;Legislation'!AO21</f>
        <v>0</v>
      </c>
      <c r="H25" s="375">
        <f>'Policy&amp;Monitoring&amp;Legislation'!AP21</f>
        <v>0</v>
      </c>
      <c r="I25" s="375">
        <f>'Policy&amp;Monitoring&amp;Legislation'!AQ21</f>
        <v>0</v>
      </c>
      <c r="J25" s="375">
        <f>'Policy&amp;Monitoring&amp;Legislation'!AR21</f>
        <v>0</v>
      </c>
      <c r="K25" s="375">
        <f>'Policy&amp;Monitoring&amp;Legislation'!AS21</f>
        <v>0</v>
      </c>
      <c r="L25" s="375">
        <f>'Policy&amp;Monitoring&amp;Legislation'!AT21</f>
        <v>71000</v>
      </c>
    </row>
    <row r="26" spans="1:12" ht="39" customHeight="1">
      <c r="A26" s="836"/>
      <c r="B26" s="843"/>
      <c r="C26" s="407" t="s">
        <v>37</v>
      </c>
      <c r="D26" s="407" t="str">
        <f>'Policy&amp;Monitoring&amp;Legislation'!F22</f>
        <v>Mid-term review of strategies and strategic documents and NSDI 2014-2020</v>
      </c>
      <c r="E26" s="560"/>
      <c r="F26" s="375">
        <f>'Policy&amp;Monitoring&amp;Legislation'!AN22</f>
        <v>1633500</v>
      </c>
      <c r="G26" s="375">
        <f>'Policy&amp;Monitoring&amp;Legislation'!AO22</f>
        <v>0</v>
      </c>
      <c r="H26" s="375">
        <f>'Policy&amp;Monitoring&amp;Legislation'!AP22</f>
        <v>0</v>
      </c>
      <c r="I26" s="375">
        <f>'Policy&amp;Monitoring&amp;Legislation'!AQ22</f>
        <v>0</v>
      </c>
      <c r="J26" s="375">
        <f>'Policy&amp;Monitoring&amp;Legislation'!AR22</f>
        <v>0</v>
      </c>
      <c r="K26" s="375">
        <f>'Policy&amp;Monitoring&amp;Legislation'!AS22</f>
        <v>0</v>
      </c>
      <c r="L26" s="375">
        <f>'Policy&amp;Monitoring&amp;Legislation'!AT22</f>
        <v>1633500</v>
      </c>
    </row>
    <row r="27" spans="1:12" ht="32.25" customHeight="1">
      <c r="A27" s="836">
        <v>1.3</v>
      </c>
      <c r="B27" s="843" t="s">
        <v>597</v>
      </c>
      <c r="C27" s="407" t="s">
        <v>39</v>
      </c>
      <c r="D27" s="407" t="str">
        <f>'Policy&amp;Monitoring&amp;Legislation'!F27</f>
        <v>Recruited staff </v>
      </c>
      <c r="E27" s="560"/>
      <c r="F27" s="375">
        <f>'Policy&amp;Monitoring&amp;Legislation'!AN27</f>
        <v>259200</v>
      </c>
      <c r="G27" s="375">
        <f>'Policy&amp;Monitoring&amp;Legislation'!AO27</f>
        <v>0</v>
      </c>
      <c r="H27" s="375">
        <f>'Policy&amp;Monitoring&amp;Legislation'!AP27</f>
        <v>0</v>
      </c>
      <c r="I27" s="375">
        <f>'Policy&amp;Monitoring&amp;Legislation'!AQ27</f>
        <v>0</v>
      </c>
      <c r="J27" s="375">
        <f>'Policy&amp;Monitoring&amp;Legislation'!AR27</f>
        <v>0</v>
      </c>
      <c r="K27" s="375">
        <f>'Policy&amp;Monitoring&amp;Legislation'!AS27</f>
        <v>0</v>
      </c>
      <c r="L27" s="375">
        <f>'Policy&amp;Monitoring&amp;Legislation'!AT27</f>
        <v>259200</v>
      </c>
    </row>
    <row r="28" spans="1:12" ht="44.25" customHeight="1">
      <c r="A28" s="836"/>
      <c r="B28" s="843"/>
      <c r="C28" s="407" t="s">
        <v>40</v>
      </c>
      <c r="D28" s="407" t="str">
        <f>'Policy&amp;Monitoring&amp;Legislation'!F28</f>
        <v>Training and seminars with the staff of the Department of Developmnet Programming, Financing and Foreign Aid.</v>
      </c>
      <c r="E28" s="560"/>
      <c r="F28" s="375">
        <f>'Policy&amp;Monitoring&amp;Legislation'!AN28</f>
        <v>6500</v>
      </c>
      <c r="G28" s="375">
        <f>'Policy&amp;Monitoring&amp;Legislation'!AO28</f>
        <v>0</v>
      </c>
      <c r="H28" s="375">
        <f>'Policy&amp;Monitoring&amp;Legislation'!AP28</f>
        <v>0</v>
      </c>
      <c r="I28" s="375">
        <f>'Policy&amp;Monitoring&amp;Legislation'!AQ28</f>
        <v>0</v>
      </c>
      <c r="J28" s="375">
        <f>'Policy&amp;Monitoring&amp;Legislation'!AR28</f>
        <v>0</v>
      </c>
      <c r="K28" s="375">
        <f>'Policy&amp;Monitoring&amp;Legislation'!AS28</f>
        <v>0</v>
      </c>
      <c r="L28" s="375">
        <f>'Policy&amp;Monitoring&amp;Legislation'!AT28</f>
        <v>6500</v>
      </c>
    </row>
    <row r="29" spans="1:12" ht="54" customHeight="1">
      <c r="A29" s="836"/>
      <c r="B29" s="843"/>
      <c r="C29" s="407" t="s">
        <v>41</v>
      </c>
      <c r="D29" s="407" t="str">
        <f>'Policy&amp;Monitoring&amp;Legislation'!F29</f>
        <v>Study tours to get practices and experiences from other countries.</v>
      </c>
      <c r="E29" s="560"/>
      <c r="F29" s="375">
        <f>'Policy&amp;Monitoring&amp;Legislation'!AN29</f>
        <v>9000</v>
      </c>
      <c r="G29" s="375">
        <f>'Policy&amp;Monitoring&amp;Legislation'!AO29</f>
        <v>0</v>
      </c>
      <c r="H29" s="375">
        <f>'Policy&amp;Monitoring&amp;Legislation'!AP29</f>
        <v>0</v>
      </c>
      <c r="I29" s="375">
        <f>'Policy&amp;Monitoring&amp;Legislation'!AQ29</f>
        <v>0</v>
      </c>
      <c r="J29" s="375">
        <f>'Policy&amp;Monitoring&amp;Legislation'!AR29</f>
        <v>0</v>
      </c>
      <c r="K29" s="375">
        <f>'Policy&amp;Monitoring&amp;Legislation'!AS29</f>
        <v>0</v>
      </c>
      <c r="L29" s="375">
        <f>'Policy&amp;Monitoring&amp;Legislation'!AT29</f>
        <v>9000</v>
      </c>
    </row>
    <row r="30" spans="1:12" ht="28.5" customHeight="1">
      <c r="A30" s="836">
        <v>1.4</v>
      </c>
      <c r="B30" s="843" t="s">
        <v>598</v>
      </c>
      <c r="C30" s="407" t="s">
        <v>44</v>
      </c>
      <c r="D30" s="407" t="str">
        <f>'Policy&amp;Monitoring&amp;Legislation'!F30</f>
        <v>Establishment of IPSIS</v>
      </c>
      <c r="E30" s="560"/>
      <c r="F30" s="375">
        <f>'Policy&amp;Monitoring&amp;Legislation'!AN30</f>
        <v>250000</v>
      </c>
      <c r="G30" s="375">
        <f>'Policy&amp;Monitoring&amp;Legislation'!AO30</f>
        <v>0</v>
      </c>
      <c r="H30" s="375">
        <f>'Policy&amp;Monitoring&amp;Legislation'!AP30</f>
        <v>0</v>
      </c>
      <c r="I30" s="375">
        <f>'Policy&amp;Monitoring&amp;Legislation'!AQ30</f>
        <v>0</v>
      </c>
      <c r="J30" s="375">
        <f>'Policy&amp;Monitoring&amp;Legislation'!AR30</f>
        <v>250000</v>
      </c>
      <c r="K30" s="375">
        <f>'Policy&amp;Monitoring&amp;Legislation'!AS30</f>
        <v>0</v>
      </c>
      <c r="L30" s="375">
        <f>'Policy&amp;Monitoring&amp;Legislation'!AT30</f>
        <v>0</v>
      </c>
    </row>
    <row r="31" spans="1:12" ht="78.75" customHeight="1">
      <c r="A31" s="836"/>
      <c r="B31" s="843"/>
      <c r="C31" s="407" t="s">
        <v>46</v>
      </c>
      <c r="D31" s="407" t="str">
        <f>'Policy&amp;Monitoring&amp;Legislation'!F31</f>
        <v>Training the staff of the central institutions in connection with the management and maintenance of IPSIS.</v>
      </c>
      <c r="E31" s="560"/>
      <c r="F31" s="375">
        <f>'Policy&amp;Monitoring&amp;Legislation'!AN31</f>
        <v>11190</v>
      </c>
      <c r="G31" s="375">
        <f>'Policy&amp;Monitoring&amp;Legislation'!AO31</f>
        <v>0</v>
      </c>
      <c r="H31" s="375">
        <f>'Policy&amp;Monitoring&amp;Legislation'!AP31</f>
        <v>0</v>
      </c>
      <c r="I31" s="375">
        <f>'Policy&amp;Monitoring&amp;Legislation'!AQ31</f>
        <v>0</v>
      </c>
      <c r="J31" s="375">
        <f>'Policy&amp;Monitoring&amp;Legislation'!AR31</f>
        <v>0</v>
      </c>
      <c r="K31" s="375">
        <f>'Policy&amp;Monitoring&amp;Legislation'!AS31</f>
        <v>0</v>
      </c>
      <c r="L31" s="375">
        <f>'Policy&amp;Monitoring&amp;Legislation'!AT31</f>
        <v>11190</v>
      </c>
    </row>
    <row r="32" spans="1:12" ht="66.75" customHeight="1">
      <c r="A32" s="836"/>
      <c r="B32" s="843"/>
      <c r="C32" s="407" t="s">
        <v>48</v>
      </c>
      <c r="D32" s="407" t="str">
        <f>'Policy&amp;Monitoring&amp;Legislation'!F32</f>
        <v>Capacity building of institutions in relation to the use of AFMIS, as well as drafting of the relevant monitoring reports.</v>
      </c>
      <c r="E32" s="841" t="s">
        <v>599</v>
      </c>
      <c r="F32" s="375">
        <f>'Policy&amp;Monitoring&amp;Legislation'!AN32</f>
        <v>0</v>
      </c>
      <c r="G32" s="375">
        <f>'Policy&amp;Monitoring&amp;Legislation'!AO32</f>
        <v>0</v>
      </c>
      <c r="H32" s="375">
        <f>'Policy&amp;Monitoring&amp;Legislation'!AP32</f>
        <v>0</v>
      </c>
      <c r="I32" s="375">
        <f>'Policy&amp;Monitoring&amp;Legislation'!AQ32</f>
        <v>0</v>
      </c>
      <c r="J32" s="375">
        <f>'Policy&amp;Monitoring&amp;Legislation'!AR32</f>
        <v>0</v>
      </c>
      <c r="K32" s="375">
        <f>'Policy&amp;Monitoring&amp;Legislation'!AS32</f>
        <v>0</v>
      </c>
      <c r="L32" s="375">
        <f>'Policy&amp;Monitoring&amp;Legislation'!AT32</f>
        <v>0</v>
      </c>
    </row>
    <row r="33" spans="1:12" ht="45" customHeight="1">
      <c r="A33" s="836"/>
      <c r="B33" s="843"/>
      <c r="C33" s="407" t="s">
        <v>79</v>
      </c>
      <c r="D33" s="407" t="str">
        <f>'Policy&amp;Monitoring&amp;Legislation'!F33</f>
        <v>Capacity building of the MoF for the management of AFMIS. </v>
      </c>
      <c r="E33" s="842"/>
      <c r="F33" s="375">
        <f>'Policy&amp;Monitoring&amp;Legislation'!AN33</f>
        <v>0</v>
      </c>
      <c r="G33" s="375">
        <f>'Policy&amp;Monitoring&amp;Legislation'!AO33</f>
        <v>0</v>
      </c>
      <c r="H33" s="375">
        <f>'Policy&amp;Monitoring&amp;Legislation'!AP33</f>
        <v>0</v>
      </c>
      <c r="I33" s="375">
        <f>'Policy&amp;Monitoring&amp;Legislation'!AQ33</f>
        <v>0</v>
      </c>
      <c r="J33" s="375">
        <f>'Policy&amp;Monitoring&amp;Legislation'!AR33</f>
        <v>0</v>
      </c>
      <c r="K33" s="375">
        <f>'Policy&amp;Monitoring&amp;Legislation'!AS33</f>
        <v>0</v>
      </c>
      <c r="L33" s="375">
        <f>'Policy&amp;Monitoring&amp;Legislation'!AT33</f>
        <v>0</v>
      </c>
    </row>
    <row r="34" spans="1:12" ht="62.25" customHeight="1">
      <c r="A34" s="377">
        <v>1.6</v>
      </c>
      <c r="B34" s="796" t="s">
        <v>600</v>
      </c>
      <c r="C34" s="407" t="s">
        <v>117</v>
      </c>
      <c r="D34" s="407" t="str">
        <f>'Policy&amp;Monitoring&amp;Legislation'!F34</f>
        <v>Capacity building of institutions in connection with Medium Term Budget Program. </v>
      </c>
      <c r="E34" s="560"/>
      <c r="F34" s="378">
        <f>'Policy&amp;Monitoring&amp;Legislation'!AN34</f>
        <v>27900</v>
      </c>
      <c r="G34" s="378">
        <f>'Policy&amp;Monitoring&amp;Legislation'!AO34</f>
        <v>0</v>
      </c>
      <c r="H34" s="378">
        <f>'Policy&amp;Monitoring&amp;Legislation'!AP34</f>
        <v>0</v>
      </c>
      <c r="I34" s="378">
        <f>'Policy&amp;Monitoring&amp;Legislation'!AQ34</f>
        <v>0</v>
      </c>
      <c r="J34" s="378">
        <f>'Policy&amp;Monitoring&amp;Legislation'!AR34</f>
        <v>0</v>
      </c>
      <c r="K34" s="378">
        <f>'Policy&amp;Monitoring&amp;Legislation'!AS34</f>
        <v>0</v>
      </c>
      <c r="L34" s="378">
        <f>'Policy&amp;Monitoring&amp;Legislation'!AT34</f>
        <v>27900</v>
      </c>
    </row>
    <row r="35" spans="1:12" ht="42.75" customHeight="1">
      <c r="A35" s="836">
        <v>1.7</v>
      </c>
      <c r="B35" s="843" t="s">
        <v>436</v>
      </c>
      <c r="C35" s="407"/>
      <c r="D35" s="407" t="str">
        <f>'Policy&amp;Monitoring&amp;Legislation'!F35</f>
        <v>Capacity building for the line ministries, through the implementation of the Training Program for Strategic Planning.  </v>
      </c>
      <c r="E35" s="560"/>
      <c r="F35" s="375">
        <f>'Policy&amp;Monitoring&amp;Legislation'!AN35</f>
        <v>62590</v>
      </c>
      <c r="G35" s="375">
        <f>'Policy&amp;Monitoring&amp;Legislation'!AO35</f>
        <v>0</v>
      </c>
      <c r="H35" s="375">
        <f>'Policy&amp;Monitoring&amp;Legislation'!AP35</f>
        <v>0</v>
      </c>
      <c r="I35" s="375">
        <f>'Policy&amp;Monitoring&amp;Legislation'!AQ35</f>
        <v>0</v>
      </c>
      <c r="J35" s="375">
        <f>'Policy&amp;Monitoring&amp;Legislation'!AR35</f>
        <v>0</v>
      </c>
      <c r="K35" s="375">
        <f>'Policy&amp;Monitoring&amp;Legislation'!AS35</f>
        <v>0</v>
      </c>
      <c r="L35" s="375">
        <f>'Policy&amp;Monitoring&amp;Legislation'!AT35</f>
        <v>62590</v>
      </c>
    </row>
    <row r="36" spans="1:12" ht="55.5" customHeight="1">
      <c r="A36" s="836"/>
      <c r="B36" s="843"/>
      <c r="C36" s="407"/>
      <c r="D36" s="407" t="str">
        <f>'Policy&amp;Monitoring&amp;Legislation'!F36</f>
        <v>Human capacity building of SPU to ensure proper leadership and guidance for the drafting and monitoring of strategic documents. </v>
      </c>
      <c r="E36" s="560"/>
      <c r="F36" s="375">
        <f>'Policy&amp;Monitoring&amp;Legislation'!AN36</f>
        <v>13170</v>
      </c>
      <c r="G36" s="375">
        <f>'Policy&amp;Monitoring&amp;Legislation'!AO36</f>
        <v>0</v>
      </c>
      <c r="H36" s="375">
        <f>'Policy&amp;Monitoring&amp;Legislation'!AP36</f>
        <v>0</v>
      </c>
      <c r="I36" s="375">
        <f>'Policy&amp;Monitoring&amp;Legislation'!AQ36</f>
        <v>0</v>
      </c>
      <c r="J36" s="375">
        <f>'Policy&amp;Monitoring&amp;Legislation'!AR36</f>
        <v>0</v>
      </c>
      <c r="K36" s="375">
        <f>'Policy&amp;Monitoring&amp;Legislation'!AS36</f>
        <v>0</v>
      </c>
      <c r="L36" s="375">
        <f>'Policy&amp;Monitoring&amp;Legislation'!AT36</f>
        <v>13170</v>
      </c>
    </row>
    <row r="37" spans="1:12" ht="33" customHeight="1">
      <c r="A37" s="847">
        <v>1.8</v>
      </c>
      <c r="B37" s="856" t="s">
        <v>601</v>
      </c>
      <c r="C37" s="407" t="s">
        <v>118</v>
      </c>
      <c r="D37" s="407" t="str">
        <f>'Policy&amp;Monitoring&amp;Legislation'!F38</f>
        <v>Evaluation of the situation n terms of the functioning of SMGs</v>
      </c>
      <c r="E37" s="560"/>
      <c r="F37" s="375">
        <f>'Policy&amp;Monitoring&amp;Legislation'!AN38</f>
        <v>55750</v>
      </c>
      <c r="G37" s="375">
        <f>'Policy&amp;Monitoring&amp;Legislation'!AO38</f>
        <v>0</v>
      </c>
      <c r="H37" s="375">
        <f>'Policy&amp;Monitoring&amp;Legislation'!AP38</f>
        <v>0</v>
      </c>
      <c r="I37" s="375">
        <f>'Policy&amp;Monitoring&amp;Legislation'!AQ38</f>
        <v>0</v>
      </c>
      <c r="J37" s="375">
        <f>'Policy&amp;Monitoring&amp;Legislation'!AR38</f>
        <v>0</v>
      </c>
      <c r="K37" s="375">
        <f>'Policy&amp;Monitoring&amp;Legislation'!AS38</f>
        <v>0</v>
      </c>
      <c r="L37" s="375">
        <f>'Policy&amp;Monitoring&amp;Legislation'!AT38</f>
        <v>55750</v>
      </c>
    </row>
    <row r="38" spans="1:12" ht="38.25">
      <c r="A38" s="848"/>
      <c r="B38" s="858"/>
      <c r="C38" s="407" t="s">
        <v>119</v>
      </c>
      <c r="D38" s="407" t="str">
        <f>'Policy&amp;Monitoring&amp;Legislation'!F39</f>
        <v>Amendment of the appropriate legal and institutional framework for the functioning of the Strategic Management Groups - SMGs.</v>
      </c>
      <c r="E38" s="560"/>
      <c r="F38" s="375">
        <f>'Policy&amp;Monitoring&amp;Legislation'!AN39</f>
        <v>16000</v>
      </c>
      <c r="G38" s="375">
        <f>'Policy&amp;Monitoring&amp;Legislation'!AO39</f>
        <v>0</v>
      </c>
      <c r="H38" s="375">
        <f>'Policy&amp;Monitoring&amp;Legislation'!AP39</f>
        <v>0</v>
      </c>
      <c r="I38" s="375">
        <f>'Policy&amp;Monitoring&amp;Legislation'!AQ39</f>
        <v>0</v>
      </c>
      <c r="J38" s="375">
        <f>'Policy&amp;Monitoring&amp;Legislation'!AR39</f>
        <v>0</v>
      </c>
      <c r="K38" s="375">
        <f>'Policy&amp;Monitoring&amp;Legislation'!AS39</f>
        <v>0</v>
      </c>
      <c r="L38" s="375">
        <f>'Policy&amp;Monitoring&amp;Legislation'!AT39</f>
        <v>16000</v>
      </c>
    </row>
    <row r="39" spans="1:12" ht="38.25">
      <c r="A39" s="848"/>
      <c r="B39" s="858"/>
      <c r="C39" s="407" t="s">
        <v>123</v>
      </c>
      <c r="D39" s="407" t="str">
        <f>'Policy&amp;Monitoring&amp;Legislation'!F40</f>
        <v>Drafting of the training program for top level managers in relation to the cycle of public policy management. </v>
      </c>
      <c r="E39" s="560"/>
      <c r="F39" s="375">
        <f>'Policy&amp;Monitoring&amp;Legislation'!AN40</f>
        <v>28500</v>
      </c>
      <c r="G39" s="375">
        <f>'Policy&amp;Monitoring&amp;Legislation'!AO40</f>
        <v>0</v>
      </c>
      <c r="H39" s="375">
        <f>'Policy&amp;Monitoring&amp;Legislation'!AP40</f>
        <v>0</v>
      </c>
      <c r="I39" s="375">
        <f>'Policy&amp;Monitoring&amp;Legislation'!AQ40</f>
        <v>0</v>
      </c>
      <c r="J39" s="375">
        <f>'Policy&amp;Monitoring&amp;Legislation'!AR40</f>
        <v>0</v>
      </c>
      <c r="K39" s="375">
        <f>'Policy&amp;Monitoring&amp;Legislation'!AS40</f>
        <v>0</v>
      </c>
      <c r="L39" s="375">
        <f>'Policy&amp;Monitoring&amp;Legislation'!AT40</f>
        <v>28500</v>
      </c>
    </row>
    <row r="40" spans="1:12" ht="51">
      <c r="A40" s="848"/>
      <c r="B40" s="858"/>
      <c r="C40" s="407" t="s">
        <v>124</v>
      </c>
      <c r="D40" s="407" t="str">
        <f>'Policy&amp;Monitoring&amp;Legislation'!F41</f>
        <v>Capacity building of top level managers of the line ministries through the implementation of the training program for the cycle of public policy management.  </v>
      </c>
      <c r="E40" s="560"/>
      <c r="F40" s="375">
        <f>'Policy&amp;Monitoring&amp;Legislation'!AN41</f>
        <v>427250</v>
      </c>
      <c r="G40" s="375">
        <f>'Policy&amp;Monitoring&amp;Legislation'!AO41</f>
        <v>0</v>
      </c>
      <c r="H40" s="375">
        <f>'Policy&amp;Monitoring&amp;Legislation'!AP41</f>
        <v>0</v>
      </c>
      <c r="I40" s="375">
        <f>'Policy&amp;Monitoring&amp;Legislation'!AQ41</f>
        <v>0</v>
      </c>
      <c r="J40" s="375">
        <f>'Policy&amp;Monitoring&amp;Legislation'!AR41</f>
        <v>0</v>
      </c>
      <c r="K40" s="375">
        <f>'Policy&amp;Monitoring&amp;Legislation'!AS41</f>
        <v>0</v>
      </c>
      <c r="L40" s="375">
        <f>'Policy&amp;Monitoring&amp;Legislation'!AT41</f>
        <v>427250</v>
      </c>
    </row>
    <row r="41" spans="1:19" s="363" customFormat="1" ht="15.75" customHeight="1">
      <c r="A41" s="379"/>
      <c r="B41" s="859" t="s">
        <v>602</v>
      </c>
      <c r="C41" s="860"/>
      <c r="D41" s="861"/>
      <c r="E41" s="564"/>
      <c r="F41" s="380">
        <f aca="true" t="shared" si="0" ref="F41:L41">SUM(F10:F40)</f>
        <v>9204025</v>
      </c>
      <c r="G41" s="380">
        <f t="shared" si="0"/>
        <v>8000</v>
      </c>
      <c r="H41" s="380">
        <f t="shared" si="0"/>
        <v>450000</v>
      </c>
      <c r="I41" s="380">
        <f t="shared" si="0"/>
        <v>0</v>
      </c>
      <c r="J41" s="380">
        <f t="shared" si="0"/>
        <v>300000</v>
      </c>
      <c r="K41" s="380">
        <f t="shared" si="0"/>
        <v>0</v>
      </c>
      <c r="L41" s="380">
        <f t="shared" si="0"/>
        <v>8446025</v>
      </c>
      <c r="M41" s="487">
        <f>'Policy&amp;Monitoring&amp;Legislation'!AN42</f>
        <v>9204025</v>
      </c>
      <c r="N41" s="487">
        <f>'Policy&amp;Monitoring&amp;Legislation'!AO42</f>
        <v>8000</v>
      </c>
      <c r="O41" s="487">
        <f>'Policy&amp;Monitoring&amp;Legislation'!AP42</f>
        <v>450000</v>
      </c>
      <c r="P41" s="487">
        <f>'Policy&amp;Monitoring&amp;Legislation'!AQ42</f>
        <v>0</v>
      </c>
      <c r="Q41" s="487">
        <f>'Policy&amp;Monitoring&amp;Legislation'!AR42</f>
        <v>300000</v>
      </c>
      <c r="R41" s="487">
        <f>'Policy&amp;Monitoring&amp;Legislation'!AS42</f>
        <v>0</v>
      </c>
      <c r="S41" s="487">
        <f>'Policy&amp;Monitoring&amp;Legislation'!AT42</f>
        <v>8446025</v>
      </c>
    </row>
    <row r="42" spans="1:19" ht="31.5" customHeight="1">
      <c r="A42" s="381">
        <v>2</v>
      </c>
      <c r="B42" s="863" t="s">
        <v>691</v>
      </c>
      <c r="C42" s="864"/>
      <c r="D42" s="864"/>
      <c r="E42" s="864"/>
      <c r="F42" s="864"/>
      <c r="G42" s="864"/>
      <c r="H42" s="864"/>
      <c r="I42" s="864"/>
      <c r="J42" s="864"/>
      <c r="K42" s="864"/>
      <c r="L42" s="865"/>
      <c r="M42" s="488">
        <f>F41-M41</f>
        <v>0</v>
      </c>
      <c r="N42" s="488">
        <f aca="true" t="shared" si="1" ref="N42:S42">G41-N41</f>
        <v>0</v>
      </c>
      <c r="O42" s="488">
        <f t="shared" si="1"/>
        <v>0</v>
      </c>
      <c r="P42" s="488">
        <f t="shared" si="1"/>
        <v>0</v>
      </c>
      <c r="Q42" s="488">
        <f t="shared" si="1"/>
        <v>0</v>
      </c>
      <c r="R42" s="488">
        <f t="shared" si="1"/>
        <v>0</v>
      </c>
      <c r="S42" s="488">
        <f t="shared" si="1"/>
        <v>0</v>
      </c>
    </row>
    <row r="43" spans="1:12" ht="31.5" customHeight="1">
      <c r="A43" s="836">
        <v>2.1</v>
      </c>
      <c r="B43" s="843" t="s">
        <v>603</v>
      </c>
      <c r="C43" s="407" t="s">
        <v>19</v>
      </c>
      <c r="D43" s="407" t="str">
        <f>'Policy&amp;Monitoring&amp;Legislation'!F44</f>
        <v>Drafted analysis of the situation evaluation</v>
      </c>
      <c r="E43" s="560"/>
      <c r="F43" s="375">
        <f>'Policy&amp;Monitoring&amp;Legislation'!AN44</f>
        <v>28500</v>
      </c>
      <c r="G43" s="375">
        <f>'Policy&amp;Monitoring&amp;Legislation'!AO44</f>
        <v>0</v>
      </c>
      <c r="H43" s="375">
        <f>'Policy&amp;Monitoring&amp;Legislation'!AP44</f>
        <v>0</v>
      </c>
      <c r="I43" s="375">
        <f>'Policy&amp;Monitoring&amp;Legislation'!AQ44</f>
        <v>0</v>
      </c>
      <c r="J43" s="375">
        <f>'Policy&amp;Monitoring&amp;Legislation'!AR44</f>
        <v>0</v>
      </c>
      <c r="K43" s="375">
        <f>'Policy&amp;Monitoring&amp;Legislation'!AS44</f>
        <v>0</v>
      </c>
      <c r="L43" s="375">
        <f>'Policy&amp;Monitoring&amp;Legislation'!AT44</f>
        <v>28500</v>
      </c>
    </row>
    <row r="44" spans="1:12" ht="38.25" customHeight="1">
      <c r="A44" s="836"/>
      <c r="B44" s="843"/>
      <c r="C44" s="407" t="s">
        <v>20</v>
      </c>
      <c r="D44" s="407" t="str">
        <f>'Policy&amp;Monitoring&amp;Legislation'!F45</f>
        <v>Legislative package on drafting legislation (draft laws and bylaws)</v>
      </c>
      <c r="E44" s="560"/>
      <c r="F44" s="375">
        <f>'Policy&amp;Monitoring&amp;Legislation'!AN45</f>
        <v>82500</v>
      </c>
      <c r="G44" s="375">
        <f>'Policy&amp;Monitoring&amp;Legislation'!AO45</f>
        <v>0</v>
      </c>
      <c r="H44" s="375">
        <f>'Policy&amp;Monitoring&amp;Legislation'!AP45</f>
        <v>0</v>
      </c>
      <c r="I44" s="375">
        <f>'Policy&amp;Monitoring&amp;Legislation'!AQ45</f>
        <v>0</v>
      </c>
      <c r="J44" s="375">
        <f>'Policy&amp;Monitoring&amp;Legislation'!AR45</f>
        <v>0</v>
      </c>
      <c r="K44" s="375">
        <f>'Policy&amp;Monitoring&amp;Legislation'!AS45</f>
        <v>0</v>
      </c>
      <c r="L44" s="375">
        <f>'Policy&amp;Monitoring&amp;Legislation'!AT45</f>
        <v>82500</v>
      </c>
    </row>
    <row r="45" spans="1:12" ht="67.5" customHeight="1">
      <c r="A45" s="841">
        <v>2.2</v>
      </c>
      <c r="B45" s="856" t="s">
        <v>604</v>
      </c>
      <c r="C45" s="407" t="s">
        <v>18</v>
      </c>
      <c r="D45" s="407" t="str">
        <f>'Policy&amp;Monitoring&amp;Legislation'!F47</f>
        <v>Analysis of the current situation of persons under the criteria of employment, organization charts and their job descriptions.</v>
      </c>
      <c r="E45" s="560"/>
      <c r="F45" s="375">
        <f>'Policy&amp;Monitoring&amp;Legislation'!AN47</f>
        <v>33000</v>
      </c>
      <c r="G45" s="375">
        <f>'Policy&amp;Monitoring&amp;Legislation'!AO47</f>
        <v>0</v>
      </c>
      <c r="H45" s="375">
        <f>'Policy&amp;Monitoring&amp;Legislation'!AP47</f>
        <v>0</v>
      </c>
      <c r="I45" s="375">
        <f>'Policy&amp;Monitoring&amp;Legislation'!AQ47</f>
        <v>0</v>
      </c>
      <c r="J45" s="375">
        <f>'Policy&amp;Monitoring&amp;Legislation'!AR47</f>
        <v>0</v>
      </c>
      <c r="K45" s="375">
        <f>'Policy&amp;Monitoring&amp;Legislation'!AS47</f>
        <v>0</v>
      </c>
      <c r="L45" s="375">
        <f>'Policy&amp;Monitoring&amp;Legislation'!AT47</f>
        <v>33000</v>
      </c>
    </row>
    <row r="46" spans="1:12" ht="48.75" customHeight="1">
      <c r="A46" s="862"/>
      <c r="B46" s="858"/>
      <c r="C46" s="407" t="s">
        <v>125</v>
      </c>
      <c r="D46" s="407" t="str">
        <f>'Policy&amp;Monitoring&amp;Legislation'!F48</f>
        <v>Stricter criteria for positions that engage in lawmaking process. </v>
      </c>
      <c r="E46" s="560"/>
      <c r="F46" s="375">
        <f>'Policy&amp;Monitoring&amp;Legislation'!AN48</f>
        <v>6700</v>
      </c>
      <c r="G46" s="375">
        <f>'Policy&amp;Monitoring&amp;Legislation'!AO48</f>
        <v>0</v>
      </c>
      <c r="H46" s="375">
        <f>'Policy&amp;Monitoring&amp;Legislation'!AP48</f>
        <v>0</v>
      </c>
      <c r="I46" s="375">
        <f>'Policy&amp;Monitoring&amp;Legislation'!AQ48</f>
        <v>0</v>
      </c>
      <c r="J46" s="375">
        <f>'Policy&amp;Monitoring&amp;Legislation'!AR48</f>
        <v>0</v>
      </c>
      <c r="K46" s="375">
        <f>'Policy&amp;Monitoring&amp;Legislation'!AS48</f>
        <v>0</v>
      </c>
      <c r="L46" s="375">
        <f>'Policy&amp;Monitoring&amp;Legislation'!AT48</f>
        <v>6700</v>
      </c>
    </row>
    <row r="47" spans="1:12" ht="30" customHeight="1">
      <c r="A47" s="862"/>
      <c r="B47" s="858"/>
      <c r="C47" s="407" t="s">
        <v>50</v>
      </c>
      <c r="D47" s="407" t="str">
        <f>'Policy&amp;Monitoring&amp;Legislation'!F49</f>
        <v>Drafting of clear job descriptions.</v>
      </c>
      <c r="E47" s="560"/>
      <c r="F47" s="375">
        <f>'Policy&amp;Monitoring&amp;Legislation'!AN49</f>
        <v>14750</v>
      </c>
      <c r="G47" s="375">
        <f>'Policy&amp;Monitoring&amp;Legislation'!AO49</f>
        <v>0</v>
      </c>
      <c r="H47" s="375">
        <f>'Policy&amp;Monitoring&amp;Legislation'!AP49</f>
        <v>0</v>
      </c>
      <c r="I47" s="375">
        <f>'Policy&amp;Monitoring&amp;Legislation'!AQ49</f>
        <v>0</v>
      </c>
      <c r="J47" s="375">
        <f>'Policy&amp;Monitoring&amp;Legislation'!AR49</f>
        <v>0</v>
      </c>
      <c r="K47" s="375">
        <f>'Policy&amp;Monitoring&amp;Legislation'!AS49</f>
        <v>0</v>
      </c>
      <c r="L47" s="375">
        <f>'Policy&amp;Monitoring&amp;Legislation'!AT49</f>
        <v>14750</v>
      </c>
    </row>
    <row r="48" spans="1:12" ht="48" customHeight="1">
      <c r="A48" s="862"/>
      <c r="B48" s="857"/>
      <c r="C48" s="407" t="s">
        <v>125</v>
      </c>
      <c r="D48" s="407" t="str">
        <f>'Policy&amp;Monitoring&amp;Legislation'!F50</f>
        <v>Drafting of a work manual/protocol for the the consultation of the acts. </v>
      </c>
      <c r="E48" s="560"/>
      <c r="F48" s="375">
        <f>'Policy&amp;Monitoring&amp;Legislation'!AN50</f>
        <v>7500</v>
      </c>
      <c r="G48" s="375">
        <f>'Policy&amp;Monitoring&amp;Legislation'!AO50</f>
        <v>7500</v>
      </c>
      <c r="H48" s="375">
        <f>'Policy&amp;Monitoring&amp;Legislation'!AP50</f>
        <v>0</v>
      </c>
      <c r="I48" s="375">
        <f>'Policy&amp;Monitoring&amp;Legislation'!AQ50</f>
        <v>0</v>
      </c>
      <c r="J48" s="375">
        <f>'Policy&amp;Monitoring&amp;Legislation'!AR50</f>
        <v>0</v>
      </c>
      <c r="K48" s="375">
        <f>'Policy&amp;Monitoring&amp;Legislation'!AS50</f>
        <v>0</v>
      </c>
      <c r="L48" s="375">
        <f>'Policy&amp;Monitoring&amp;Legislation'!AT50</f>
        <v>0</v>
      </c>
    </row>
    <row r="49" spans="1:12" ht="48.75" customHeight="1">
      <c r="A49" s="841">
        <v>2.3</v>
      </c>
      <c r="B49" s="841" t="s">
        <v>567</v>
      </c>
      <c r="C49" s="560" t="s">
        <v>51</v>
      </c>
      <c r="D49" s="560" t="str">
        <f>'Transparency &amp; Anti-corruption '!E9</f>
        <v>Integration of the manual for corruption proofing.</v>
      </c>
      <c r="E49" s="796" t="s">
        <v>287</v>
      </c>
      <c r="F49" s="375">
        <f>'Transparency &amp; Anti-corruption '!AL9</f>
        <v>0</v>
      </c>
      <c r="G49" s="375">
        <f>'Transparency &amp; Anti-corruption '!AM9</f>
        <v>0</v>
      </c>
      <c r="H49" s="375">
        <f>'Transparency &amp; Anti-corruption '!AN9</f>
        <v>0</v>
      </c>
      <c r="I49" s="375">
        <f>'Transparency &amp; Anti-corruption '!AO9</f>
        <v>0</v>
      </c>
      <c r="J49" s="375">
        <f>'Transparency &amp; Anti-corruption '!AP9</f>
        <v>0</v>
      </c>
      <c r="K49" s="375">
        <f>'Transparency &amp; Anti-corruption '!AQ9</f>
        <v>0</v>
      </c>
      <c r="L49" s="375">
        <f>'Transparency &amp; Anti-corruption '!AR9</f>
        <v>0</v>
      </c>
    </row>
    <row r="50" spans="1:12" ht="30" customHeight="1">
      <c r="A50" s="842"/>
      <c r="B50" s="842"/>
      <c r="C50" s="560" t="s">
        <v>52</v>
      </c>
      <c r="D50" s="560" t="str">
        <f>'Transparency &amp; Anti-corruption '!E10</f>
        <v>Drafting of the methodology for reviewing the laws in terms of legal spaces, which allow opportunities for corruption.</v>
      </c>
      <c r="E50" s="560"/>
      <c r="F50" s="375">
        <f>'Transparency &amp; Anti-corruption '!AL10</f>
        <v>72150</v>
      </c>
      <c r="G50" s="375">
        <f>'Transparency &amp; Anti-corruption '!AM10</f>
        <v>0</v>
      </c>
      <c r="H50" s="375">
        <f>'Transparency &amp; Anti-corruption '!AN10</f>
        <v>0</v>
      </c>
      <c r="I50" s="375">
        <f>'Transparency &amp; Anti-corruption '!AO10</f>
        <v>0</v>
      </c>
      <c r="J50" s="375">
        <f>'Transparency &amp; Anti-corruption '!AP10</f>
        <v>0</v>
      </c>
      <c r="K50" s="375">
        <f>'Transparency &amp; Anti-corruption '!AQ10</f>
        <v>0</v>
      </c>
      <c r="L50" s="375">
        <f>'Transparency &amp; Anti-corruption '!AR10</f>
        <v>72150</v>
      </c>
    </row>
    <row r="51" spans="1:12" ht="37.5" customHeight="1">
      <c r="A51" s="847">
        <v>2.4</v>
      </c>
      <c r="B51" s="843" t="s">
        <v>605</v>
      </c>
      <c r="C51" s="407" t="s">
        <v>51</v>
      </c>
      <c r="D51" s="407" t="str">
        <f>'Policy&amp;Monitoring&amp;Legislation'!F52</f>
        <v>Adoption of bylaws to facilitate the consultation procedure. </v>
      </c>
      <c r="E51" s="560"/>
      <c r="F51" s="375">
        <f>'Policy&amp;Monitoring&amp;Legislation'!AN52</f>
        <v>9000</v>
      </c>
      <c r="G51" s="375">
        <f>'Policy&amp;Monitoring&amp;Legislation'!AO52</f>
        <v>0</v>
      </c>
      <c r="H51" s="375">
        <f>'Policy&amp;Monitoring&amp;Legislation'!AP52</f>
        <v>0</v>
      </c>
      <c r="I51" s="375">
        <f>'Policy&amp;Monitoring&amp;Legislation'!AQ52</f>
        <v>0</v>
      </c>
      <c r="J51" s="375">
        <f>'Policy&amp;Monitoring&amp;Legislation'!AR52</f>
        <v>0</v>
      </c>
      <c r="K51" s="375">
        <f>'Policy&amp;Monitoring&amp;Legislation'!AS52</f>
        <v>0</v>
      </c>
      <c r="L51" s="375">
        <f>'Policy&amp;Monitoring&amp;Legislation'!AT52</f>
        <v>9000</v>
      </c>
    </row>
    <row r="52" spans="1:12" ht="29.25" customHeight="1">
      <c r="A52" s="848"/>
      <c r="B52" s="843"/>
      <c r="C52" s="407" t="s">
        <v>52</v>
      </c>
      <c r="D52" s="407" t="str">
        <f>'Policy&amp;Monitoring&amp;Legislation'!F53</f>
        <v> Establishment of a stakeholders' database </v>
      </c>
      <c r="E52" s="796" t="s">
        <v>287</v>
      </c>
      <c r="F52" s="375">
        <f>'Policy&amp;Monitoring&amp;Legislation'!AN53</f>
        <v>0</v>
      </c>
      <c r="G52" s="375">
        <f>'Policy&amp;Monitoring&amp;Legislation'!AO53</f>
        <v>0</v>
      </c>
      <c r="H52" s="375">
        <f>'Policy&amp;Monitoring&amp;Legislation'!AP53</f>
        <v>0</v>
      </c>
      <c r="I52" s="375">
        <f>'Policy&amp;Monitoring&amp;Legislation'!AQ53</f>
        <v>0</v>
      </c>
      <c r="J52" s="375">
        <f>'Policy&amp;Monitoring&amp;Legislation'!AR53</f>
        <v>0</v>
      </c>
      <c r="K52" s="375">
        <f>'Policy&amp;Monitoring&amp;Legislation'!AS53</f>
        <v>0</v>
      </c>
      <c r="L52" s="375">
        <f>'Policy&amp;Monitoring&amp;Legislation'!AT53</f>
        <v>0</v>
      </c>
    </row>
    <row r="53" spans="1:12" ht="32.25" customHeight="1">
      <c r="A53" s="848"/>
      <c r="B53" s="843"/>
      <c r="C53" s="407" t="s">
        <v>86</v>
      </c>
      <c r="D53" s="407" t="str">
        <f>'Policy&amp;Monitoring&amp;Legislation'!F54</f>
        <v>Drafting of a work manual/protocol for the consultation of acts</v>
      </c>
      <c r="E53" s="796" t="s">
        <v>287</v>
      </c>
      <c r="F53" s="375">
        <f>'Policy&amp;Monitoring&amp;Legislation'!AN54</f>
        <v>0</v>
      </c>
      <c r="G53" s="375">
        <f>'Policy&amp;Monitoring&amp;Legislation'!AO54</f>
        <v>0</v>
      </c>
      <c r="H53" s="375">
        <f>'Policy&amp;Monitoring&amp;Legislation'!AP54</f>
        <v>0</v>
      </c>
      <c r="I53" s="375">
        <f>'Policy&amp;Monitoring&amp;Legislation'!AQ54</f>
        <v>0</v>
      </c>
      <c r="J53" s="375">
        <f>'Policy&amp;Monitoring&amp;Legislation'!AR54</f>
        <v>0</v>
      </c>
      <c r="K53" s="375">
        <f>'Policy&amp;Monitoring&amp;Legislation'!AS54</f>
        <v>0</v>
      </c>
      <c r="L53" s="375">
        <f>'Policy&amp;Monitoring&amp;Legislation'!AT54</f>
        <v>0</v>
      </c>
    </row>
    <row r="54" spans="1:12" ht="25.5" customHeight="1">
      <c r="A54" s="849"/>
      <c r="B54" s="843"/>
      <c r="C54" s="407" t="s">
        <v>181</v>
      </c>
      <c r="D54" s="407" t="str">
        <f>'Policy&amp;Monitoring&amp;Legislation'!F55</f>
        <v>Training of persons responsible for consultations.</v>
      </c>
      <c r="E54" s="560"/>
      <c r="F54" s="375">
        <f>'Policy&amp;Monitoring&amp;Legislation'!AN55</f>
        <v>9120</v>
      </c>
      <c r="G54" s="375">
        <f>'Policy&amp;Monitoring&amp;Legislation'!AO55</f>
        <v>0</v>
      </c>
      <c r="H54" s="375">
        <f>'Policy&amp;Monitoring&amp;Legislation'!AP55</f>
        <v>0</v>
      </c>
      <c r="I54" s="375">
        <f>'Policy&amp;Monitoring&amp;Legislation'!AQ55</f>
        <v>0</v>
      </c>
      <c r="J54" s="375">
        <f>'Policy&amp;Monitoring&amp;Legislation'!AR55</f>
        <v>0</v>
      </c>
      <c r="K54" s="375">
        <f>'Policy&amp;Monitoring&amp;Legislation'!AS55</f>
        <v>0</v>
      </c>
      <c r="L54" s="375">
        <f>'Policy&amp;Monitoring&amp;Legislation'!AT55</f>
        <v>9120</v>
      </c>
    </row>
    <row r="55" spans="1:12" ht="25.5">
      <c r="A55" s="836">
        <v>2.4</v>
      </c>
      <c r="B55" s="843" t="s">
        <v>606</v>
      </c>
      <c r="C55" s="407" t="s">
        <v>53</v>
      </c>
      <c r="D55" s="407" t="str">
        <f>'Policy&amp;Monitoring&amp;Legislation'!F56</f>
        <v>Analysis document  on the understanding of the estimates of the impact of acts.</v>
      </c>
      <c r="E55" s="560"/>
      <c r="F55" s="375">
        <f>'Policy&amp;Monitoring&amp;Legislation'!AN56</f>
        <v>88000</v>
      </c>
      <c r="G55" s="375">
        <f>'Policy&amp;Monitoring&amp;Legislation'!AO56</f>
        <v>0</v>
      </c>
      <c r="H55" s="375">
        <f>'Policy&amp;Monitoring&amp;Legislation'!AP56</f>
        <v>0</v>
      </c>
      <c r="I55" s="375">
        <f>'Policy&amp;Monitoring&amp;Legislation'!AQ56</f>
        <v>0</v>
      </c>
      <c r="J55" s="375">
        <f>'Policy&amp;Monitoring&amp;Legislation'!AR56</f>
        <v>0</v>
      </c>
      <c r="K55" s="375">
        <f>'Policy&amp;Monitoring&amp;Legislation'!AS56</f>
        <v>0</v>
      </c>
      <c r="L55" s="375">
        <f>'Policy&amp;Monitoring&amp;Legislation'!AT56</f>
        <v>88000</v>
      </c>
    </row>
    <row r="56" spans="1:12" ht="25.5">
      <c r="A56" s="836"/>
      <c r="B56" s="843"/>
      <c r="C56" s="407" t="s">
        <v>54</v>
      </c>
      <c r="D56" s="407" t="str">
        <f>'Policy&amp;Monitoring&amp;Legislation'!F57</f>
        <v>  RIA  - Act adopted for the obligation of mentioned analysis.</v>
      </c>
      <c r="E56" s="560" t="str">
        <f>E53</f>
        <v>Without additional cost</v>
      </c>
      <c r="F56" s="375">
        <f>'Policy&amp;Monitoring&amp;Legislation'!AN57</f>
        <v>0</v>
      </c>
      <c r="G56" s="375">
        <f>'Policy&amp;Monitoring&amp;Legislation'!AO57</f>
        <v>0</v>
      </c>
      <c r="H56" s="375">
        <f>'Policy&amp;Monitoring&amp;Legislation'!AP57</f>
        <v>0</v>
      </c>
      <c r="I56" s="375">
        <f>'Policy&amp;Monitoring&amp;Legislation'!AQ57</f>
        <v>0</v>
      </c>
      <c r="J56" s="375">
        <f>'Policy&amp;Monitoring&amp;Legislation'!AR57</f>
        <v>0</v>
      </c>
      <c r="K56" s="375">
        <f>'Policy&amp;Monitoring&amp;Legislation'!AS57</f>
        <v>0</v>
      </c>
      <c r="L56" s="375">
        <f>'Policy&amp;Monitoring&amp;Legislation'!AT57</f>
        <v>0</v>
      </c>
    </row>
    <row r="57" spans="1:12" ht="63" customHeight="1">
      <c r="A57" s="836"/>
      <c r="B57" s="843"/>
      <c r="C57" s="407" t="s">
        <v>55</v>
      </c>
      <c r="D57" s="407" t="str">
        <f>'Policy&amp;Monitoring&amp;Legislation'!F58</f>
        <v>and carried out/tested X RIA under the adopted act (pilot in X institutions for X issues). </v>
      </c>
      <c r="E57" s="796" t="s">
        <v>33</v>
      </c>
      <c r="F57" s="375">
        <f>'Policy&amp;Monitoring&amp;Legislation'!AN58</f>
        <v>184000</v>
      </c>
      <c r="G57" s="375">
        <f>'Policy&amp;Monitoring&amp;Legislation'!AO58</f>
        <v>0</v>
      </c>
      <c r="H57" s="375">
        <f>'Policy&amp;Monitoring&amp;Legislation'!AP58</f>
        <v>0</v>
      </c>
      <c r="I57" s="375">
        <f>'Policy&amp;Monitoring&amp;Legislation'!AQ58</f>
        <v>0</v>
      </c>
      <c r="J57" s="375">
        <f>'Policy&amp;Monitoring&amp;Legislation'!AR58</f>
        <v>0</v>
      </c>
      <c r="K57" s="375">
        <f>'Policy&amp;Monitoring&amp;Legislation'!AS58</f>
        <v>0</v>
      </c>
      <c r="L57" s="375">
        <f>'Policy&amp;Monitoring&amp;Legislation'!AT58</f>
        <v>184000</v>
      </c>
    </row>
    <row r="58" spans="1:12" ht="39" customHeight="1">
      <c r="A58" s="836">
        <v>2.5</v>
      </c>
      <c r="B58" s="843" t="s">
        <v>607</v>
      </c>
      <c r="C58" s="407" t="s">
        <v>88</v>
      </c>
      <c r="D58" s="407" t="str">
        <f>'Policy&amp;Monitoring&amp;Legislation'!F59</f>
        <v>Training for central units for drafting laws</v>
      </c>
      <c r="E58" s="560"/>
      <c r="F58" s="375">
        <f>'Policy&amp;Monitoring&amp;Legislation'!AN59</f>
        <v>30825</v>
      </c>
      <c r="G58" s="375">
        <f>'Policy&amp;Monitoring&amp;Legislation'!AO59</f>
        <v>0</v>
      </c>
      <c r="H58" s="375">
        <f>'Policy&amp;Monitoring&amp;Legislation'!AP59</f>
        <v>0</v>
      </c>
      <c r="I58" s="375">
        <f>'Policy&amp;Monitoring&amp;Legislation'!AQ59</f>
        <v>0</v>
      </c>
      <c r="J58" s="375">
        <f>'Policy&amp;Monitoring&amp;Legislation'!AR59</f>
        <v>0</v>
      </c>
      <c r="K58" s="375">
        <f>'Policy&amp;Monitoring&amp;Legislation'!AS59</f>
        <v>0</v>
      </c>
      <c r="L58" s="375">
        <f>'Policy&amp;Monitoring&amp;Legislation'!AT59</f>
        <v>30825</v>
      </c>
    </row>
    <row r="59" spans="1:12" ht="39.75" customHeight="1">
      <c r="A59" s="836"/>
      <c r="B59" s="843"/>
      <c r="C59" s="407" t="s">
        <v>89</v>
      </c>
      <c r="D59" s="407" t="str">
        <f>'Policy&amp;Monitoring&amp;Legislation'!F60</f>
        <v>Training for line ministries for drafting laws</v>
      </c>
      <c r="E59" s="560"/>
      <c r="F59" s="375">
        <f>'Policy&amp;Monitoring&amp;Legislation'!AN60</f>
        <v>5190</v>
      </c>
      <c r="G59" s="375">
        <f>'Policy&amp;Monitoring&amp;Legislation'!AO60</f>
        <v>0</v>
      </c>
      <c r="H59" s="375">
        <f>'Policy&amp;Monitoring&amp;Legislation'!AP60</f>
        <v>0</v>
      </c>
      <c r="I59" s="375">
        <f>'Policy&amp;Monitoring&amp;Legislation'!AQ60</f>
        <v>0</v>
      </c>
      <c r="J59" s="375">
        <f>'Policy&amp;Monitoring&amp;Legislation'!AR60</f>
        <v>0</v>
      </c>
      <c r="K59" s="375">
        <f>'Policy&amp;Monitoring&amp;Legislation'!AS60</f>
        <v>0</v>
      </c>
      <c r="L59" s="375">
        <f>'Policy&amp;Monitoring&amp;Legislation'!AT60</f>
        <v>5190</v>
      </c>
    </row>
    <row r="60" spans="1:12" ht="39.75" customHeight="1">
      <c r="A60" s="836"/>
      <c r="B60" s="843"/>
      <c r="C60" s="407" t="s">
        <v>90</v>
      </c>
      <c r="D60" s="407" t="str">
        <f>'Policy&amp;Monitoring&amp;Legislation'!F61</f>
        <v>Training for independent institutions for drafting laws </v>
      </c>
      <c r="E60" s="560"/>
      <c r="F60" s="375">
        <f>'Policy&amp;Monitoring&amp;Legislation'!AN61</f>
        <v>3095</v>
      </c>
      <c r="G60" s="375">
        <f>'Policy&amp;Monitoring&amp;Legislation'!AO61</f>
        <v>0</v>
      </c>
      <c r="H60" s="375">
        <f>'Policy&amp;Monitoring&amp;Legislation'!AP61</f>
        <v>0</v>
      </c>
      <c r="I60" s="375">
        <f>'Policy&amp;Monitoring&amp;Legislation'!AQ61</f>
        <v>0</v>
      </c>
      <c r="J60" s="375">
        <f>'Policy&amp;Monitoring&amp;Legislation'!AR61</f>
        <v>0</v>
      </c>
      <c r="K60" s="375">
        <f>'Policy&amp;Monitoring&amp;Legislation'!AS61</f>
        <v>0</v>
      </c>
      <c r="L60" s="375">
        <f>'Policy&amp;Monitoring&amp;Legislation'!AT61</f>
        <v>3095</v>
      </c>
    </row>
    <row r="61" spans="1:12" ht="25.5">
      <c r="A61" s="836">
        <v>2.6</v>
      </c>
      <c r="B61" s="843" t="s">
        <v>608</v>
      </c>
      <c r="C61" s="407" t="s">
        <v>91</v>
      </c>
      <c r="D61" s="407" t="str">
        <f>'Policy&amp;Monitoring&amp;Legislation'!F62</f>
        <v>Obligation (Instruction) of the Official Publication Center for the publication of consolidated acts.</v>
      </c>
      <c r="E61" s="560"/>
      <c r="F61" s="375">
        <f>'Policy&amp;Monitoring&amp;Legislation'!AN62</f>
        <v>25000</v>
      </c>
      <c r="G61" s="375">
        <f>'Policy&amp;Monitoring&amp;Legislation'!AO62</f>
        <v>0</v>
      </c>
      <c r="H61" s="375">
        <f>'Policy&amp;Monitoring&amp;Legislation'!AP62</f>
        <v>0</v>
      </c>
      <c r="I61" s="375">
        <f>'Policy&amp;Monitoring&amp;Legislation'!AQ62</f>
        <v>0</v>
      </c>
      <c r="J61" s="375">
        <f>'Policy&amp;Monitoring&amp;Legislation'!AR62</f>
        <v>0</v>
      </c>
      <c r="K61" s="375">
        <f>'Policy&amp;Monitoring&amp;Legislation'!AS62</f>
        <v>0</v>
      </c>
      <c r="L61" s="375">
        <f>'Policy&amp;Monitoring&amp;Legislation'!AT62</f>
        <v>25000</v>
      </c>
    </row>
    <row r="62" spans="1:12" ht="25.5">
      <c r="A62" s="836"/>
      <c r="B62" s="843"/>
      <c r="C62" s="407" t="s">
        <v>92</v>
      </c>
      <c r="D62" s="407" t="str">
        <f>'Policy&amp;Monitoring&amp;Legislation'!F63</f>
        <v>Each institution will have posted in their website by 2015 the consolidated acts. </v>
      </c>
      <c r="E62" s="560"/>
      <c r="F62" s="375">
        <f>'Policy&amp;Monitoring&amp;Legislation'!AN63</f>
        <v>190000</v>
      </c>
      <c r="G62" s="375">
        <f>'Policy&amp;Monitoring&amp;Legislation'!AO63</f>
        <v>0</v>
      </c>
      <c r="H62" s="375">
        <f>'Policy&amp;Monitoring&amp;Legislation'!AP63</f>
        <v>0</v>
      </c>
      <c r="I62" s="375">
        <f>'Policy&amp;Monitoring&amp;Legislation'!AQ63</f>
        <v>0</v>
      </c>
      <c r="J62" s="375">
        <f>'Policy&amp;Monitoring&amp;Legislation'!AR63</f>
        <v>0</v>
      </c>
      <c r="K62" s="375">
        <f>'Policy&amp;Monitoring&amp;Legislation'!AS63</f>
        <v>0</v>
      </c>
      <c r="L62" s="375">
        <f>'Policy&amp;Monitoring&amp;Legislation'!AT63</f>
        <v>190000</v>
      </c>
    </row>
    <row r="63" spans="1:19" ht="15.75" customHeight="1">
      <c r="A63" s="384"/>
      <c r="B63" s="838" t="s">
        <v>609</v>
      </c>
      <c r="C63" s="839"/>
      <c r="D63" s="840"/>
      <c r="E63" s="565"/>
      <c r="F63" s="385">
        <f aca="true" t="shared" si="2" ref="F63:L63">SUM(F43:F62)</f>
        <v>789330</v>
      </c>
      <c r="G63" s="385">
        <f t="shared" si="2"/>
        <v>7500</v>
      </c>
      <c r="H63" s="385">
        <f t="shared" si="2"/>
        <v>0</v>
      </c>
      <c r="I63" s="385">
        <f t="shared" si="2"/>
        <v>0</v>
      </c>
      <c r="J63" s="385">
        <f t="shared" si="2"/>
        <v>0</v>
      </c>
      <c r="K63" s="385">
        <f t="shared" si="2"/>
        <v>0</v>
      </c>
      <c r="L63" s="385">
        <f t="shared" si="2"/>
        <v>781830</v>
      </c>
      <c r="M63" s="489">
        <f>'Policy&amp;Monitoring&amp;Legislation'!AN64+'Transparency &amp; Anti-corruption '!AL11</f>
        <v>789330</v>
      </c>
      <c r="N63" s="489">
        <f>'Policy&amp;Monitoring&amp;Legislation'!AO64+'Transparency &amp; Anti-corruption '!AM11</f>
        <v>7500</v>
      </c>
      <c r="O63" s="489">
        <f>'Policy&amp;Monitoring&amp;Legislation'!AP64+'Transparency &amp; Anti-corruption '!AN11</f>
        <v>0</v>
      </c>
      <c r="P63" s="489">
        <f>'Policy&amp;Monitoring&amp;Legislation'!AQ64+'Transparency &amp; Anti-corruption '!AO11</f>
        <v>0</v>
      </c>
      <c r="Q63" s="489">
        <f>'Policy&amp;Monitoring&amp;Legislation'!AR64+'Transparency &amp; Anti-corruption '!AP11</f>
        <v>0</v>
      </c>
      <c r="R63" s="489">
        <f>'Policy&amp;Monitoring&amp;Legislation'!AS64+'Transparency &amp; Anti-corruption '!AQ11</f>
        <v>0</v>
      </c>
      <c r="S63" s="489">
        <f>'Policy&amp;Monitoring&amp;Legislation'!AT64+'Transparency &amp; Anti-corruption '!AR11</f>
        <v>781830</v>
      </c>
    </row>
    <row r="64" spans="1:19" ht="46.5" customHeight="1">
      <c r="A64" s="386">
        <v>3</v>
      </c>
      <c r="B64" s="850" t="s">
        <v>472</v>
      </c>
      <c r="C64" s="851"/>
      <c r="D64" s="851"/>
      <c r="E64" s="851"/>
      <c r="F64" s="851"/>
      <c r="G64" s="851"/>
      <c r="H64" s="851"/>
      <c r="I64" s="851"/>
      <c r="J64" s="851"/>
      <c r="K64" s="851"/>
      <c r="L64" s="852"/>
      <c r="M64" s="488">
        <f>F63-M63</f>
        <v>0</v>
      </c>
      <c r="N64" s="488">
        <f aca="true" t="shared" si="3" ref="N64:S64">G63-N63</f>
        <v>0</v>
      </c>
      <c r="O64" s="488">
        <f t="shared" si="3"/>
        <v>0</v>
      </c>
      <c r="P64" s="488">
        <f t="shared" si="3"/>
        <v>0</v>
      </c>
      <c r="Q64" s="488">
        <f t="shared" si="3"/>
        <v>0</v>
      </c>
      <c r="R64" s="488">
        <f t="shared" si="3"/>
        <v>0</v>
      </c>
      <c r="S64" s="488">
        <f t="shared" si="3"/>
        <v>0</v>
      </c>
    </row>
    <row r="65" spans="1:12" ht="45.75" customHeight="1">
      <c r="A65" s="836">
        <v>3.1</v>
      </c>
      <c r="B65" s="843" t="s">
        <v>610</v>
      </c>
      <c r="C65" s="407" t="s">
        <v>22</v>
      </c>
      <c r="D65" s="407" t="str">
        <f>'Policy&amp;Monitoring&amp;Legislation'!F66</f>
        <v>Analysis of the evaluation of the current situation regarding the monitoring of sector and cross-cutting strategies  </v>
      </c>
      <c r="E65" s="560"/>
      <c r="F65" s="375">
        <f>'Policy&amp;Monitoring&amp;Legislation'!AN66</f>
        <v>62500</v>
      </c>
      <c r="G65" s="375">
        <f>'Policy&amp;Monitoring&amp;Legislation'!AO66</f>
        <v>0</v>
      </c>
      <c r="H65" s="375">
        <f>'Policy&amp;Monitoring&amp;Legislation'!AP66</f>
        <v>0</v>
      </c>
      <c r="I65" s="375">
        <f>'Policy&amp;Monitoring&amp;Legislation'!AQ66</f>
        <v>0</v>
      </c>
      <c r="J65" s="375">
        <f>'Policy&amp;Monitoring&amp;Legislation'!AR66</f>
        <v>0</v>
      </c>
      <c r="K65" s="375">
        <f>'Policy&amp;Monitoring&amp;Legislation'!AS66</f>
        <v>0</v>
      </c>
      <c r="L65" s="375">
        <f>'Policy&amp;Monitoring&amp;Legislation'!AT66</f>
        <v>62500</v>
      </c>
    </row>
    <row r="66" spans="1:12" ht="45.75" customHeight="1">
      <c r="A66" s="836"/>
      <c r="B66" s="843"/>
      <c r="C66" s="407" t="s">
        <v>23</v>
      </c>
      <c r="D66" s="407" t="str">
        <f>'Policy&amp;Monitoring&amp;Legislation'!F67</f>
        <v>Reviewing of the legal basis related to the monitoring of sector/cross-cutting strategies</v>
      </c>
      <c r="E66" s="560"/>
      <c r="F66" s="375">
        <f>'Policy&amp;Monitoring&amp;Legislation'!AN67</f>
        <v>59000</v>
      </c>
      <c r="G66" s="375">
        <f>'Policy&amp;Monitoring&amp;Legislation'!AO67</f>
        <v>0</v>
      </c>
      <c r="H66" s="375">
        <f>'Policy&amp;Monitoring&amp;Legislation'!AP67</f>
        <v>0</v>
      </c>
      <c r="I66" s="375">
        <f>'Policy&amp;Monitoring&amp;Legislation'!AQ67</f>
        <v>0</v>
      </c>
      <c r="J66" s="375">
        <f>'Policy&amp;Monitoring&amp;Legislation'!AR67</f>
        <v>0</v>
      </c>
      <c r="K66" s="375">
        <f>'Policy&amp;Monitoring&amp;Legislation'!AS67</f>
        <v>0</v>
      </c>
      <c r="L66" s="375">
        <f>'Policy&amp;Monitoring&amp;Legislation'!AT67</f>
        <v>59000</v>
      </c>
    </row>
    <row r="67" spans="1:12" ht="40.5" customHeight="1">
      <c r="A67" s="836"/>
      <c r="B67" s="843"/>
      <c r="C67" s="407" t="s">
        <v>24</v>
      </c>
      <c r="D67" s="407" t="str">
        <f>'Policy&amp;Monitoring&amp;Legislation'!F68</f>
        <v>Analysis of the evaluation of the current situation of M&amp;E (structures and human resources)</v>
      </c>
      <c r="E67" s="560"/>
      <c r="F67" s="375">
        <f>'Policy&amp;Monitoring&amp;Legislation'!AN68</f>
        <v>91000</v>
      </c>
      <c r="G67" s="375">
        <f>'Policy&amp;Monitoring&amp;Legislation'!AO68</f>
        <v>0</v>
      </c>
      <c r="H67" s="375">
        <f>'Policy&amp;Monitoring&amp;Legislation'!AP68</f>
        <v>0</v>
      </c>
      <c r="I67" s="375">
        <f>'Policy&amp;Monitoring&amp;Legislation'!AQ68</f>
        <v>0</v>
      </c>
      <c r="J67" s="375">
        <f>'Policy&amp;Monitoring&amp;Legislation'!AR68</f>
        <v>0</v>
      </c>
      <c r="K67" s="375">
        <f>'Policy&amp;Monitoring&amp;Legislation'!AS68</f>
        <v>0</v>
      </c>
      <c r="L67" s="375">
        <f>'Policy&amp;Monitoring&amp;Legislation'!AT68</f>
        <v>91000</v>
      </c>
    </row>
    <row r="68" spans="1:12" ht="39" customHeight="1">
      <c r="A68" s="836"/>
      <c r="B68" s="843"/>
      <c r="C68" s="407" t="s">
        <v>97</v>
      </c>
      <c r="D68" s="407" t="str">
        <f>'Policy&amp;Monitoring&amp;Legislation'!F69</f>
        <v>Analysis of the evaluation of the current legal framework and methodology for M &amp; E </v>
      </c>
      <c r="E68" s="560"/>
      <c r="F68" s="375">
        <f>'Policy&amp;Monitoring&amp;Legislation'!AN69</f>
        <v>42000</v>
      </c>
      <c r="G68" s="375">
        <f>'Policy&amp;Monitoring&amp;Legislation'!AO69</f>
        <v>0</v>
      </c>
      <c r="H68" s="375">
        <f>'Policy&amp;Monitoring&amp;Legislation'!AP69</f>
        <v>0</v>
      </c>
      <c r="I68" s="375">
        <f>'Policy&amp;Monitoring&amp;Legislation'!AQ69</f>
        <v>0</v>
      </c>
      <c r="J68" s="375">
        <f>'Policy&amp;Monitoring&amp;Legislation'!AR69</f>
        <v>0</v>
      </c>
      <c r="K68" s="375">
        <f>'Policy&amp;Monitoring&amp;Legislation'!AS69</f>
        <v>0</v>
      </c>
      <c r="L68" s="375">
        <f>'Policy&amp;Monitoring&amp;Legislation'!AT69</f>
        <v>42000</v>
      </c>
    </row>
    <row r="69" spans="1:12" ht="36" customHeight="1">
      <c r="A69" s="836"/>
      <c r="B69" s="843"/>
      <c r="C69" s="407" t="s">
        <v>98</v>
      </c>
      <c r="D69" s="407" t="str">
        <f>'Policy&amp;Monitoring&amp;Legislation'!F70</f>
        <v>Analysis of training needs assessment for the structures of M &amp; E. </v>
      </c>
      <c r="E69" s="560"/>
      <c r="F69" s="375">
        <f>'Policy&amp;Monitoring&amp;Legislation'!AN70</f>
        <v>72250</v>
      </c>
      <c r="G69" s="375">
        <f>'Policy&amp;Monitoring&amp;Legislation'!AO70</f>
        <v>0</v>
      </c>
      <c r="H69" s="375">
        <f>'Policy&amp;Monitoring&amp;Legislation'!AP70</f>
        <v>0</v>
      </c>
      <c r="I69" s="375">
        <f>'Policy&amp;Monitoring&amp;Legislation'!AQ70</f>
        <v>0</v>
      </c>
      <c r="J69" s="375">
        <f>'Policy&amp;Monitoring&amp;Legislation'!AR70</f>
        <v>0</v>
      </c>
      <c r="K69" s="375">
        <f>'Policy&amp;Monitoring&amp;Legislation'!AS70</f>
        <v>0</v>
      </c>
      <c r="L69" s="375">
        <f>'Policy&amp;Monitoring&amp;Legislation'!AT70</f>
        <v>72250</v>
      </c>
    </row>
    <row r="70" spans="1:12" ht="34.5" customHeight="1">
      <c r="A70" s="836"/>
      <c r="B70" s="843"/>
      <c r="C70" s="407" t="s">
        <v>99</v>
      </c>
      <c r="D70" s="407" t="str">
        <f>'Policy&amp;Monitoring&amp;Legislation'!F71</f>
        <v>Training of the staff of the Monitoring Units of the Office of the Prime Minister and line ministries </v>
      </c>
      <c r="E70" s="560"/>
      <c r="F70" s="375">
        <f>'Policy&amp;Monitoring&amp;Legislation'!AN71</f>
        <v>0</v>
      </c>
      <c r="G70" s="375">
        <f>'Policy&amp;Monitoring&amp;Legislation'!AO71</f>
        <v>0</v>
      </c>
      <c r="H70" s="375">
        <f>'Policy&amp;Monitoring&amp;Legislation'!AP71</f>
        <v>0</v>
      </c>
      <c r="I70" s="375">
        <f>'Policy&amp;Monitoring&amp;Legislation'!AQ71</f>
        <v>0</v>
      </c>
      <c r="J70" s="375">
        <f>'Policy&amp;Monitoring&amp;Legislation'!AR71</f>
        <v>0</v>
      </c>
      <c r="K70" s="375">
        <f>'Policy&amp;Monitoring&amp;Legislation'!AS71</f>
        <v>0</v>
      </c>
      <c r="L70" s="375">
        <f>'Policy&amp;Monitoring&amp;Legislation'!AT71</f>
        <v>0</v>
      </c>
    </row>
    <row r="71" spans="1:12" ht="99" customHeight="1">
      <c r="A71" s="836">
        <v>3.2</v>
      </c>
      <c r="B71" s="843" t="s">
        <v>485</v>
      </c>
      <c r="C71" s="407" t="s">
        <v>25</v>
      </c>
      <c r="D71" s="407" t="str">
        <f>'Policy&amp;Monitoring&amp;Legislation'!F72</f>
        <v>Publication of annual reports of the line ministries for the implementation of the respective sector/crosscutting strategies), the NSDI, as well as of the DPPFFA. </v>
      </c>
      <c r="E71" s="560"/>
      <c r="F71" s="375">
        <f>'Policy&amp;Monitoring&amp;Legislation'!AN72</f>
        <v>144000</v>
      </c>
      <c r="G71" s="375">
        <f>'Policy&amp;Monitoring&amp;Legislation'!AO72</f>
        <v>0</v>
      </c>
      <c r="H71" s="375">
        <f>'Policy&amp;Monitoring&amp;Legislation'!AP72</f>
        <v>0</v>
      </c>
      <c r="I71" s="375">
        <f>'Policy&amp;Monitoring&amp;Legislation'!AQ72</f>
        <v>0</v>
      </c>
      <c r="J71" s="375">
        <f>'Policy&amp;Monitoring&amp;Legislation'!AR72</f>
        <v>0</v>
      </c>
      <c r="K71" s="375">
        <f>'Policy&amp;Monitoring&amp;Legislation'!AS72</f>
        <v>0</v>
      </c>
      <c r="L71" s="375">
        <f>'Policy&amp;Monitoring&amp;Legislation'!AT72</f>
        <v>144000</v>
      </c>
    </row>
    <row r="72" spans="1:12" ht="60.75" customHeight="1">
      <c r="A72" s="836"/>
      <c r="B72" s="843"/>
      <c r="C72" s="407" t="s">
        <v>26</v>
      </c>
      <c r="D72" s="407" t="str">
        <f>'Policy&amp;Monitoring&amp;Legislation'!F73</f>
        <v>Drafting of the new legal framework on monitoring and evaluation system. </v>
      </c>
      <c r="E72" s="560"/>
      <c r="F72" s="375">
        <f>'Policy&amp;Monitoring&amp;Legislation'!AN73</f>
        <v>69500</v>
      </c>
      <c r="G72" s="375">
        <f>'Policy&amp;Monitoring&amp;Legislation'!AO73</f>
        <v>0</v>
      </c>
      <c r="H72" s="375">
        <f>'Policy&amp;Monitoring&amp;Legislation'!AP73</f>
        <v>0</v>
      </c>
      <c r="I72" s="375">
        <f>'Policy&amp;Monitoring&amp;Legislation'!AQ73</f>
        <v>0</v>
      </c>
      <c r="J72" s="375">
        <f>'Policy&amp;Monitoring&amp;Legislation'!AR73</f>
        <v>0</v>
      </c>
      <c r="K72" s="375">
        <f>'Policy&amp;Monitoring&amp;Legislation'!AS73</f>
        <v>0</v>
      </c>
      <c r="L72" s="375">
        <f>'Policy&amp;Monitoring&amp;Legislation'!AT73</f>
        <v>69500</v>
      </c>
    </row>
    <row r="73" spans="1:12" ht="36.75" customHeight="1">
      <c r="A73" s="836"/>
      <c r="B73" s="843"/>
      <c r="C73" s="407" t="s">
        <v>56</v>
      </c>
      <c r="D73" s="407" t="str">
        <f>'Policy&amp;Monitoring&amp;Legislation'!F74</f>
        <v>Reviewing the structures of ministries in view of the implementation of the M &amp; E system</v>
      </c>
      <c r="E73" s="796" t="s">
        <v>287</v>
      </c>
      <c r="F73" s="375">
        <f>'Policy&amp;Monitoring&amp;Legislation'!AN74</f>
        <v>0</v>
      </c>
      <c r="G73" s="375">
        <f>'Policy&amp;Monitoring&amp;Legislation'!AO74</f>
        <v>0</v>
      </c>
      <c r="H73" s="375">
        <f>'Policy&amp;Monitoring&amp;Legislation'!AP74</f>
        <v>0</v>
      </c>
      <c r="I73" s="375">
        <f>'Policy&amp;Monitoring&amp;Legislation'!AQ74</f>
        <v>0</v>
      </c>
      <c r="J73" s="375">
        <f>'Policy&amp;Monitoring&amp;Legislation'!AR74</f>
        <v>0</v>
      </c>
      <c r="K73" s="375">
        <f>'Policy&amp;Monitoring&amp;Legislation'!AS74</f>
        <v>0</v>
      </c>
      <c r="L73" s="375">
        <f>'Policy&amp;Monitoring&amp;Legislation'!AT74</f>
        <v>0</v>
      </c>
    </row>
    <row r="74" spans="1:12" ht="56.25" customHeight="1">
      <c r="A74" s="836"/>
      <c r="B74" s="843"/>
      <c r="C74" s="407" t="s">
        <v>57</v>
      </c>
      <c r="D74" s="407" t="str">
        <f>'Policy&amp;Monitoring&amp;Legislation'!F75</f>
        <v>Establishment of M &amp; E network and capacity building (training ) </v>
      </c>
      <c r="E74" s="796" t="s">
        <v>652</v>
      </c>
      <c r="F74" s="375">
        <f>'Policy&amp;Monitoring&amp;Legislation'!AN75</f>
        <v>0</v>
      </c>
      <c r="G74" s="375">
        <f>'Policy&amp;Monitoring&amp;Legislation'!AO75</f>
        <v>0</v>
      </c>
      <c r="H74" s="375">
        <f>'Policy&amp;Monitoring&amp;Legislation'!AP75</f>
        <v>0</v>
      </c>
      <c r="I74" s="375">
        <f>'Policy&amp;Monitoring&amp;Legislation'!AQ75</f>
        <v>0</v>
      </c>
      <c r="J74" s="375">
        <f>'Policy&amp;Monitoring&amp;Legislation'!AR75</f>
        <v>0</v>
      </c>
      <c r="K74" s="375">
        <f>'Policy&amp;Monitoring&amp;Legislation'!AS75</f>
        <v>0</v>
      </c>
      <c r="L74" s="375">
        <f>'Policy&amp;Monitoring&amp;Legislation'!AT75</f>
        <v>0</v>
      </c>
    </row>
    <row r="75" spans="1:12" ht="45" customHeight="1">
      <c r="A75" s="836">
        <v>3.3</v>
      </c>
      <c r="B75" s="843" t="s">
        <v>611</v>
      </c>
      <c r="C75" s="407" t="s">
        <v>126</v>
      </c>
      <c r="D75" s="407" t="str">
        <f>'Policy&amp;Monitoring&amp;Legislation'!F76</f>
        <v>Manual for monitoring the sector/cross-cutting strategies (EMP) and Training Manual for the administration (ToT)</v>
      </c>
      <c r="E75" s="560"/>
      <c r="F75" s="375">
        <f>'Policy&amp;Monitoring&amp;Legislation'!AN76</f>
        <v>61500</v>
      </c>
      <c r="G75" s="375">
        <f>'Policy&amp;Monitoring&amp;Legislation'!AO76</f>
        <v>0</v>
      </c>
      <c r="H75" s="375">
        <f>'Policy&amp;Monitoring&amp;Legislation'!AP76</f>
        <v>0</v>
      </c>
      <c r="I75" s="375">
        <f>'Policy&amp;Monitoring&amp;Legislation'!AQ76</f>
        <v>0</v>
      </c>
      <c r="J75" s="375">
        <f>'Policy&amp;Monitoring&amp;Legislation'!AR76</f>
        <v>61500</v>
      </c>
      <c r="K75" s="375">
        <f>'Policy&amp;Monitoring&amp;Legislation'!AS76</f>
        <v>0</v>
      </c>
      <c r="L75" s="375">
        <f>'Policy&amp;Monitoring&amp;Legislation'!AT76</f>
        <v>0</v>
      </c>
    </row>
    <row r="76" spans="1:12" ht="40.5" customHeight="1">
      <c r="A76" s="836"/>
      <c r="B76" s="843"/>
      <c r="C76" s="407" t="s">
        <v>127</v>
      </c>
      <c r="D76" s="407" t="str">
        <f>'Policy&amp;Monitoring&amp;Legislation'!F77</f>
        <v>Capacity building of DPPFFA regarding the drafting of the annual summary reports on the implementation of the strategic framework (ToT) </v>
      </c>
      <c r="E76" s="560"/>
      <c r="F76" s="375">
        <f>'Policy&amp;Monitoring&amp;Legislation'!AN77</f>
        <v>11400</v>
      </c>
      <c r="G76" s="375">
        <f>'Policy&amp;Monitoring&amp;Legislation'!AO77</f>
        <v>0</v>
      </c>
      <c r="H76" s="375">
        <f>'Policy&amp;Monitoring&amp;Legislation'!AP77</f>
        <v>0</v>
      </c>
      <c r="I76" s="375">
        <f>'Policy&amp;Monitoring&amp;Legislation'!AQ77</f>
        <v>0</v>
      </c>
      <c r="J76" s="375">
        <f>'Policy&amp;Monitoring&amp;Legislation'!AR77</f>
        <v>11400</v>
      </c>
      <c r="K76" s="375">
        <f>'Policy&amp;Monitoring&amp;Legislation'!AS77</f>
        <v>0</v>
      </c>
      <c r="L76" s="375">
        <f>'Policy&amp;Monitoring&amp;Legislation'!AT77</f>
        <v>0</v>
      </c>
    </row>
    <row r="77" spans="1:12" ht="30" customHeight="1">
      <c r="A77" s="836"/>
      <c r="B77" s="843"/>
      <c r="C77" s="407" t="s">
        <v>128</v>
      </c>
      <c r="D77" s="407" t="str">
        <f>'Policy&amp;Monitoring&amp;Legislation'!F78</f>
        <v>Capacity building of line ministry for drafting EMP reports </v>
      </c>
      <c r="E77" s="560"/>
      <c r="F77" s="375">
        <f>'Policy&amp;Monitoring&amp;Legislation'!AN78</f>
        <v>92800</v>
      </c>
      <c r="G77" s="375">
        <f>'Policy&amp;Monitoring&amp;Legislation'!AO78</f>
        <v>0</v>
      </c>
      <c r="H77" s="375">
        <f>'Policy&amp;Monitoring&amp;Legislation'!AP78</f>
        <v>0</v>
      </c>
      <c r="I77" s="375">
        <f>'Policy&amp;Monitoring&amp;Legislation'!AQ78</f>
        <v>0</v>
      </c>
      <c r="J77" s="375">
        <f>'Policy&amp;Monitoring&amp;Legislation'!AR78</f>
        <v>0</v>
      </c>
      <c r="K77" s="375">
        <f>'Policy&amp;Monitoring&amp;Legislation'!AS78</f>
        <v>0</v>
      </c>
      <c r="L77" s="375">
        <f>'Policy&amp;Monitoring&amp;Legislation'!AT78</f>
        <v>92800</v>
      </c>
    </row>
    <row r="78" spans="1:12" ht="33.75" customHeight="1">
      <c r="A78" s="836"/>
      <c r="B78" s="843"/>
      <c r="C78" s="407" t="s">
        <v>129</v>
      </c>
      <c r="D78" s="407" t="str">
        <f>'Policy&amp;Monitoring&amp;Legislation'!F79</f>
        <v>Drafting of the Monitoring and Evaluation methodology for the Government Program  </v>
      </c>
      <c r="E78" s="560"/>
      <c r="F78" s="375">
        <f>'Policy&amp;Monitoring&amp;Legislation'!AN79</f>
        <v>64780</v>
      </c>
      <c r="G78" s="375">
        <f>'Policy&amp;Monitoring&amp;Legislation'!AO79</f>
        <v>0</v>
      </c>
      <c r="H78" s="375">
        <f>'Policy&amp;Monitoring&amp;Legislation'!AP79</f>
        <v>0</v>
      </c>
      <c r="I78" s="375">
        <f>'Policy&amp;Monitoring&amp;Legislation'!AQ79</f>
        <v>0</v>
      </c>
      <c r="J78" s="375">
        <f>'Policy&amp;Monitoring&amp;Legislation'!AR79</f>
        <v>0</v>
      </c>
      <c r="K78" s="375">
        <f>'Policy&amp;Monitoring&amp;Legislation'!AS79</f>
        <v>0</v>
      </c>
      <c r="L78" s="375">
        <f>'Policy&amp;Monitoring&amp;Legislation'!AT79</f>
        <v>64780</v>
      </c>
    </row>
    <row r="79" spans="1:12" ht="33" customHeight="1">
      <c r="A79" s="377"/>
      <c r="B79" s="407"/>
      <c r="C79" s="407" t="s">
        <v>221</v>
      </c>
      <c r="D79" s="407" t="str">
        <f>'Policy&amp;Monitoring&amp;Legislation'!F80</f>
        <v>Drafting of the Monitoring and Evaluation methodology  for the implementation of laws</v>
      </c>
      <c r="E79" s="560"/>
      <c r="F79" s="375">
        <f>'Policy&amp;Monitoring&amp;Legislation'!AN80</f>
        <v>80000</v>
      </c>
      <c r="G79" s="375">
        <f>'Policy&amp;Monitoring&amp;Legislation'!AO80</f>
        <v>0</v>
      </c>
      <c r="H79" s="375">
        <f>'Policy&amp;Monitoring&amp;Legislation'!AP80</f>
        <v>0</v>
      </c>
      <c r="I79" s="375">
        <f>'Policy&amp;Monitoring&amp;Legislation'!AQ80</f>
        <v>0</v>
      </c>
      <c r="J79" s="375">
        <f>'Policy&amp;Monitoring&amp;Legislation'!AR80</f>
        <v>0</v>
      </c>
      <c r="K79" s="375">
        <f>'Policy&amp;Monitoring&amp;Legislation'!AS80</f>
        <v>0</v>
      </c>
      <c r="L79" s="375">
        <f>'Policy&amp;Monitoring&amp;Legislation'!AT80</f>
        <v>80000</v>
      </c>
    </row>
    <row r="80" spans="1:12" ht="33" customHeight="1">
      <c r="A80" s="836">
        <v>3.4</v>
      </c>
      <c r="B80" s="843" t="s">
        <v>612</v>
      </c>
      <c r="C80" s="407" t="s">
        <v>130</v>
      </c>
      <c r="D80" s="407" t="str">
        <f>'Policy&amp;Monitoring&amp;Legislation'!F81</f>
        <v>The electronic system for monitoring the implementation of the Government Program</v>
      </c>
      <c r="E80" s="560"/>
      <c r="F80" s="375">
        <f>'Policy&amp;Monitoring&amp;Legislation'!AN81</f>
        <v>12857.142857142857</v>
      </c>
      <c r="G80" s="375">
        <f>'Policy&amp;Monitoring&amp;Legislation'!AO81</f>
        <v>12857.142857142857</v>
      </c>
      <c r="H80" s="375">
        <f>'Policy&amp;Monitoring&amp;Legislation'!AP81</f>
        <v>0</v>
      </c>
      <c r="I80" s="375">
        <f>'Policy&amp;Monitoring&amp;Legislation'!AQ81</f>
        <v>0</v>
      </c>
      <c r="J80" s="375">
        <f>'Policy&amp;Monitoring&amp;Legislation'!AR81</f>
        <v>0</v>
      </c>
      <c r="K80" s="375">
        <f>'Policy&amp;Monitoring&amp;Legislation'!AS81</f>
        <v>0</v>
      </c>
      <c r="L80" s="375">
        <f>'Policy&amp;Monitoring&amp;Legislation'!AT81</f>
        <v>0</v>
      </c>
    </row>
    <row r="81" spans="1:12" ht="39" customHeight="1">
      <c r="A81" s="836"/>
      <c r="B81" s="843"/>
      <c r="C81" s="407" t="s">
        <v>131</v>
      </c>
      <c r="D81" s="407" t="str">
        <f>'Policy&amp;Monitoring&amp;Legislation'!F82</f>
        <v>The electronic system for monitoring the flow of information and correspondence</v>
      </c>
      <c r="E81" s="560"/>
      <c r="F81" s="375">
        <f>'Policy&amp;Monitoring&amp;Legislation'!AN82</f>
        <v>65268.25714285715</v>
      </c>
      <c r="G81" s="375">
        <f>'Policy&amp;Monitoring&amp;Legislation'!AO82</f>
        <v>65268.25714285715</v>
      </c>
      <c r="H81" s="375">
        <f>'Policy&amp;Monitoring&amp;Legislation'!AP82</f>
        <v>0</v>
      </c>
      <c r="I81" s="375">
        <f>'Policy&amp;Monitoring&amp;Legislation'!AQ82</f>
        <v>0</v>
      </c>
      <c r="J81" s="375">
        <f>'Policy&amp;Monitoring&amp;Legislation'!AR82</f>
        <v>0</v>
      </c>
      <c r="K81" s="375">
        <f>'Policy&amp;Monitoring&amp;Legislation'!AS82</f>
        <v>0</v>
      </c>
      <c r="L81" s="375">
        <f>'Policy&amp;Monitoring&amp;Legislation'!AT82</f>
        <v>0</v>
      </c>
    </row>
    <row r="82" spans="1:12" ht="30" customHeight="1">
      <c r="A82" s="836"/>
      <c r="B82" s="843"/>
      <c r="C82" s="407" t="s">
        <v>132</v>
      </c>
      <c r="D82" s="407" t="str">
        <f>'Policy&amp;Monitoring&amp;Legislation'!F83</f>
        <v>E-acts system (the system of monitoring the process of drafting the legislation) </v>
      </c>
      <c r="E82" s="560"/>
      <c r="F82" s="375">
        <f>'Policy&amp;Monitoring&amp;Legislation'!AN83</f>
        <v>2520</v>
      </c>
      <c r="G82" s="375">
        <f>'Policy&amp;Monitoring&amp;Legislation'!AO83</f>
        <v>2520</v>
      </c>
      <c r="H82" s="375">
        <f>'Policy&amp;Monitoring&amp;Legislation'!AP83</f>
        <v>0</v>
      </c>
      <c r="I82" s="375">
        <f>'Policy&amp;Monitoring&amp;Legislation'!AQ83</f>
        <v>0</v>
      </c>
      <c r="J82" s="375">
        <f>'Policy&amp;Monitoring&amp;Legislation'!AR83</f>
        <v>0</v>
      </c>
      <c r="K82" s="375">
        <f>'Policy&amp;Monitoring&amp;Legislation'!AS83</f>
        <v>0</v>
      </c>
      <c r="L82" s="375">
        <f>'Policy&amp;Monitoring&amp;Legislation'!AT83</f>
        <v>0</v>
      </c>
    </row>
    <row r="83" spans="1:12" ht="93" customHeight="1">
      <c r="A83" s="836"/>
      <c r="B83" s="843"/>
      <c r="C83" s="407" t="s">
        <v>133</v>
      </c>
      <c r="D83" s="407" t="str">
        <f>'Policy&amp;Monitoring&amp;Legislation'!F84</f>
        <v>The integrated electronic monitoring system "The watchtower". </v>
      </c>
      <c r="E83" s="796" t="s">
        <v>651</v>
      </c>
      <c r="F83" s="375">
        <f>'Policy&amp;Monitoring&amp;Legislation'!AN84</f>
        <v>0</v>
      </c>
      <c r="G83" s="375">
        <f>'Policy&amp;Monitoring&amp;Legislation'!AO84</f>
        <v>0</v>
      </c>
      <c r="H83" s="375">
        <f>'Policy&amp;Monitoring&amp;Legislation'!AP84</f>
        <v>0</v>
      </c>
      <c r="I83" s="375">
        <f>'Policy&amp;Monitoring&amp;Legislation'!AQ84</f>
        <v>0</v>
      </c>
      <c r="J83" s="375">
        <f>'Policy&amp;Monitoring&amp;Legislation'!AR84</f>
        <v>0</v>
      </c>
      <c r="K83" s="375">
        <f>'Policy&amp;Monitoring&amp;Legislation'!AS84</f>
        <v>0</v>
      </c>
      <c r="L83" s="375">
        <f>'Policy&amp;Monitoring&amp;Legislation'!AT84</f>
        <v>0</v>
      </c>
    </row>
    <row r="84" spans="1:19" ht="15.75" customHeight="1">
      <c r="A84" s="384"/>
      <c r="B84" s="838" t="s">
        <v>613</v>
      </c>
      <c r="C84" s="839"/>
      <c r="D84" s="840"/>
      <c r="E84" s="565"/>
      <c r="F84" s="385">
        <f>SUM(F65:F83)</f>
        <v>931375.4</v>
      </c>
      <c r="G84" s="385">
        <f aca="true" t="shared" si="4" ref="G84:L84">SUM(G65:G83)</f>
        <v>80645.40000000001</v>
      </c>
      <c r="H84" s="385">
        <f t="shared" si="4"/>
        <v>0</v>
      </c>
      <c r="I84" s="385">
        <f t="shared" si="4"/>
        <v>0</v>
      </c>
      <c r="J84" s="385">
        <f t="shared" si="4"/>
        <v>72900</v>
      </c>
      <c r="K84" s="385">
        <f t="shared" si="4"/>
        <v>0</v>
      </c>
      <c r="L84" s="385">
        <f t="shared" si="4"/>
        <v>777830</v>
      </c>
      <c r="M84" s="489">
        <f>'Policy&amp;Monitoring&amp;Legislation'!AN87</f>
        <v>931375.4</v>
      </c>
      <c r="N84" s="489">
        <f>'Policy&amp;Monitoring&amp;Legislation'!AO87</f>
        <v>80645.40000000001</v>
      </c>
      <c r="O84" s="489">
        <f>'Policy&amp;Monitoring&amp;Legislation'!AP87</f>
        <v>0</v>
      </c>
      <c r="P84" s="489">
        <f>'Policy&amp;Monitoring&amp;Legislation'!AQ87</f>
        <v>0</v>
      </c>
      <c r="Q84" s="489">
        <f>'Policy&amp;Monitoring&amp;Legislation'!AR87</f>
        <v>72900</v>
      </c>
      <c r="R84" s="489">
        <f>'Policy&amp;Monitoring&amp;Legislation'!AS87</f>
        <v>0</v>
      </c>
      <c r="S84" s="489">
        <f>'Policy&amp;Monitoring&amp;Legislation'!AT87</f>
        <v>777830</v>
      </c>
    </row>
    <row r="85" spans="1:19" ht="40.5" customHeight="1">
      <c r="A85" s="381">
        <v>4</v>
      </c>
      <c r="B85" s="844" t="s">
        <v>614</v>
      </c>
      <c r="C85" s="845"/>
      <c r="D85" s="846"/>
      <c r="E85" s="566"/>
      <c r="F85" s="382"/>
      <c r="G85" s="383"/>
      <c r="H85" s="383"/>
      <c r="I85" s="383"/>
      <c r="J85" s="383"/>
      <c r="K85" s="383"/>
      <c r="L85" s="383"/>
      <c r="M85" s="488">
        <f>F84-M84</f>
        <v>0</v>
      </c>
      <c r="N85" s="488">
        <f aca="true" t="shared" si="5" ref="N85:S85">G84-N84</f>
        <v>0</v>
      </c>
      <c r="O85" s="488">
        <f t="shared" si="5"/>
        <v>0</v>
      </c>
      <c r="P85" s="488">
        <f t="shared" si="5"/>
        <v>0</v>
      </c>
      <c r="Q85" s="488">
        <f t="shared" si="5"/>
        <v>0</v>
      </c>
      <c r="R85" s="488">
        <f t="shared" si="5"/>
        <v>0</v>
      </c>
      <c r="S85" s="488">
        <f t="shared" si="5"/>
        <v>0</v>
      </c>
    </row>
    <row r="86" spans="1:12" ht="38.25">
      <c r="A86" s="836">
        <v>4.1</v>
      </c>
      <c r="B86" s="843" t="s">
        <v>615</v>
      </c>
      <c r="C86" s="407" t="s">
        <v>27</v>
      </c>
      <c r="D86" s="560" t="str">
        <f>'Civil Service &amp; HRM'!E9</f>
        <v>Study and analysis of the transfer of public functions towards the private market of services delivery.</v>
      </c>
      <c r="E86" s="560"/>
      <c r="F86" s="375">
        <f>'Civil Service &amp; HRM'!AL9</f>
        <v>1235000</v>
      </c>
      <c r="G86" s="375">
        <f>'Civil Service &amp; HRM'!AM9</f>
        <v>0</v>
      </c>
      <c r="H86" s="375">
        <f>'Civil Service &amp; HRM'!AN9</f>
        <v>0</v>
      </c>
      <c r="I86" s="375">
        <f>'Civil Service &amp; HRM'!AO9</f>
        <v>0</v>
      </c>
      <c r="J86" s="375">
        <f>'Civil Service &amp; HRM'!AP9</f>
        <v>0</v>
      </c>
      <c r="K86" s="375">
        <f>'Civil Service &amp; HRM'!AQ9</f>
        <v>0</v>
      </c>
      <c r="L86" s="375">
        <f>'Civil Service &amp; HRM'!AR9</f>
        <v>1235000</v>
      </c>
    </row>
    <row r="87" spans="1:12" ht="25.5">
      <c r="A87" s="836"/>
      <c r="B87" s="843"/>
      <c r="C87" s="407" t="s">
        <v>58</v>
      </c>
      <c r="D87" s="560" t="str">
        <f>'Civil Service &amp; HRM'!E10</f>
        <v>Evaluation (inventory) of new human resources units at national level.</v>
      </c>
      <c r="E87" s="560"/>
      <c r="F87" s="375">
        <f>'Civil Service &amp; HRM'!AL10</f>
        <v>50000</v>
      </c>
      <c r="G87" s="375">
        <f>'Civil Service &amp; HRM'!AM10</f>
        <v>0</v>
      </c>
      <c r="H87" s="375">
        <f>'Civil Service &amp; HRM'!AN10</f>
        <v>0</v>
      </c>
      <c r="I87" s="375">
        <f>'Civil Service &amp; HRM'!AO10</f>
        <v>0</v>
      </c>
      <c r="J87" s="375">
        <f>'Civil Service &amp; HRM'!AP10</f>
        <v>0</v>
      </c>
      <c r="K87" s="375">
        <f>'Civil Service &amp; HRM'!AQ10</f>
        <v>0</v>
      </c>
      <c r="L87" s="375">
        <f>'Civil Service &amp; HRM'!AR10</f>
        <v>50000</v>
      </c>
    </row>
    <row r="88" spans="1:12" ht="38.25">
      <c r="A88" s="836"/>
      <c r="B88" s="843"/>
      <c r="C88" s="407" t="s">
        <v>143</v>
      </c>
      <c r="D88" s="560" t="str">
        <f>'Civil Service &amp; HRM'!E11</f>
        <v>Establishment of a functional framework of the relations of ministries with the subordinated institutions.  </v>
      </c>
      <c r="E88" s="560"/>
      <c r="F88" s="375">
        <f>'Civil Service &amp; HRM'!AL11</f>
        <v>541625</v>
      </c>
      <c r="G88" s="375">
        <f>'Civil Service &amp; HRM'!AM11</f>
        <v>0</v>
      </c>
      <c r="H88" s="375">
        <f>'Civil Service &amp; HRM'!AN11</f>
        <v>0</v>
      </c>
      <c r="I88" s="375">
        <f>'Civil Service &amp; HRM'!AO11</f>
        <v>50000</v>
      </c>
      <c r="J88" s="375">
        <f>'Civil Service &amp; HRM'!AP11</f>
        <v>0</v>
      </c>
      <c r="K88" s="375">
        <f>'Civil Service &amp; HRM'!AQ11</f>
        <v>0</v>
      </c>
      <c r="L88" s="375">
        <f>'Civil Service &amp; HRM'!AR11</f>
        <v>491625</v>
      </c>
    </row>
    <row r="89" spans="1:12" ht="38.25">
      <c r="A89" s="836"/>
      <c r="B89" s="843"/>
      <c r="C89" s="407" t="s">
        <v>203</v>
      </c>
      <c r="D89" s="560" t="str">
        <f>'Civil Service &amp; HRM'!E12</f>
        <v>Manual of procedures for the administrative processes and documents management system in line ministries (IPA A.1.5).</v>
      </c>
      <c r="E89" s="560"/>
      <c r="F89" s="375">
        <f>'Civil Service &amp; HRM'!AL12</f>
        <v>500000</v>
      </c>
      <c r="G89" s="375">
        <f>'Civil Service &amp; HRM'!AM12</f>
        <v>0</v>
      </c>
      <c r="H89" s="375">
        <f>'Civil Service &amp; HRM'!AN12</f>
        <v>500000</v>
      </c>
      <c r="I89" s="375">
        <f>'Civil Service &amp; HRM'!AO12</f>
        <v>0</v>
      </c>
      <c r="J89" s="375">
        <f>'Civil Service &amp; HRM'!AP12</f>
        <v>0</v>
      </c>
      <c r="K89" s="375">
        <f>'Civil Service &amp; HRM'!AQ12</f>
        <v>0</v>
      </c>
      <c r="L89" s="375">
        <f>'Civil Service &amp; HRM'!AR12</f>
        <v>0</v>
      </c>
    </row>
    <row r="90" spans="1:12" ht="33.75" customHeight="1">
      <c r="A90" s="836">
        <v>4.2</v>
      </c>
      <c r="B90" s="843" t="s">
        <v>616</v>
      </c>
      <c r="C90" s="407" t="s">
        <v>28</v>
      </c>
      <c r="D90" s="407" t="str">
        <f>'Civil Service &amp; HRM'!E13</f>
        <v>Review of the relevant legal framework. </v>
      </c>
      <c r="E90" s="560"/>
      <c r="F90" s="375">
        <f>'Civil Service &amp; HRM'!AL13</f>
        <v>40000</v>
      </c>
      <c r="G90" s="375">
        <f>'Civil Service &amp; HRM'!AM13</f>
        <v>40000</v>
      </c>
      <c r="H90" s="375">
        <f>'Civil Service &amp; HRM'!AN13</f>
        <v>0</v>
      </c>
      <c r="I90" s="375">
        <f>'Civil Service &amp; HRM'!AO13</f>
        <v>0</v>
      </c>
      <c r="J90" s="375">
        <f>'Civil Service &amp; HRM'!AP13</f>
        <v>0</v>
      </c>
      <c r="K90" s="375">
        <f>'Civil Service &amp; HRM'!AQ13</f>
        <v>0</v>
      </c>
      <c r="L90" s="375">
        <f>'Civil Service &amp; HRM'!AR13</f>
        <v>0</v>
      </c>
    </row>
    <row r="91" spans="1:12" ht="78" customHeight="1">
      <c r="A91" s="836"/>
      <c r="B91" s="843"/>
      <c r="C91" s="407" t="s">
        <v>29</v>
      </c>
      <c r="D91" s="407" t="str">
        <f>'Civil Service &amp; HRM'!E14</f>
        <v>Functional review of institutions and adapting to the new territorial division.</v>
      </c>
      <c r="E91" s="560"/>
      <c r="F91" s="375">
        <f>'Civil Service &amp; HRM'!AL14</f>
        <v>30000</v>
      </c>
      <c r="G91" s="375">
        <f>'Civil Service &amp; HRM'!AM14</f>
        <v>30000</v>
      </c>
      <c r="H91" s="375">
        <f>'Civil Service &amp; HRM'!AN14</f>
        <v>0</v>
      </c>
      <c r="I91" s="375">
        <f>'Civil Service &amp; HRM'!AO14</f>
        <v>0</v>
      </c>
      <c r="J91" s="375">
        <f>'Civil Service &amp; HRM'!AP14</f>
        <v>0</v>
      </c>
      <c r="K91" s="375">
        <f>'Civil Service &amp; HRM'!AQ14</f>
        <v>0</v>
      </c>
      <c r="L91" s="375">
        <f>'Civil Service &amp; HRM'!AR14</f>
        <v>0</v>
      </c>
    </row>
    <row r="92" spans="1:12" ht="51">
      <c r="A92" s="836">
        <v>4.3</v>
      </c>
      <c r="B92" s="843" t="s">
        <v>556</v>
      </c>
      <c r="C92" s="407" t="s">
        <v>59</v>
      </c>
      <c r="D92" s="407" t="str">
        <f>'Decentralisation '!E9</f>
        <v>Drafting of the list of LGU-s' functions, structural model of the organization of municipalities, the classification of job positions and implementation of training program for the LGU-s (IPA A 1.6)</v>
      </c>
      <c r="E92" s="560"/>
      <c r="F92" s="375">
        <f>'Decentralisation '!AL9</f>
        <v>350000</v>
      </c>
      <c r="G92" s="375">
        <f>'Decentralisation '!AM9</f>
        <v>0</v>
      </c>
      <c r="H92" s="375">
        <f>'Decentralisation '!AN9</f>
        <v>300000</v>
      </c>
      <c r="I92" s="375">
        <f>'Decentralisation '!AO9</f>
        <v>50000</v>
      </c>
      <c r="J92" s="375">
        <f>'Decentralisation '!AP9</f>
        <v>0</v>
      </c>
      <c r="K92" s="375">
        <f>'Decentralisation '!AQ9</f>
        <v>0</v>
      </c>
      <c r="L92" s="375">
        <f>'Decentralisation '!AR9</f>
        <v>0</v>
      </c>
    </row>
    <row r="93" spans="1:12" ht="51">
      <c r="A93" s="836"/>
      <c r="B93" s="843"/>
      <c r="C93" s="407" t="s">
        <v>175</v>
      </c>
      <c r="D93" s="407" t="str">
        <f>'Decentralisation '!E10</f>
        <v>Designing of the model of the new setup of LGUs and assistance for the establishment of new setups (hands on Assistance).
</v>
      </c>
      <c r="E93" s="560"/>
      <c r="F93" s="375">
        <f>'Decentralisation '!AL10</f>
        <v>200000</v>
      </c>
      <c r="G93" s="375">
        <f>'Decentralisation '!AM10</f>
        <v>0</v>
      </c>
      <c r="H93" s="375">
        <f>'Decentralisation '!AN10</f>
        <v>0</v>
      </c>
      <c r="I93" s="375">
        <f>'Decentralisation '!AO10</f>
        <v>200000</v>
      </c>
      <c r="J93" s="375">
        <f>'Decentralisation '!AP10</f>
        <v>0</v>
      </c>
      <c r="K93" s="375">
        <f>'Decentralisation '!AQ10</f>
        <v>0</v>
      </c>
      <c r="L93" s="375">
        <f>'Decentralisation '!AR10</f>
        <v>0</v>
      </c>
    </row>
    <row r="94" spans="1:12" ht="38.25">
      <c r="A94" s="836"/>
      <c r="B94" s="843"/>
      <c r="C94" s="407" t="s">
        <v>201</v>
      </c>
      <c r="D94" s="407" t="str">
        <f>'Decentralisation '!E11</f>
        <v>Capacity building for human resources management units of the new municipalities (15,000 Euro).</v>
      </c>
      <c r="E94" s="560"/>
      <c r="F94" s="375">
        <f>'Decentralisation '!AL11</f>
        <v>39900</v>
      </c>
      <c r="G94" s="375">
        <f>'Decentralisation '!AM11</f>
        <v>0</v>
      </c>
      <c r="H94" s="375">
        <f>'Decentralisation '!AN11</f>
        <v>0</v>
      </c>
      <c r="I94" s="375">
        <f>'Decentralisation '!AO11</f>
        <v>15000</v>
      </c>
      <c r="J94" s="375">
        <f>'Decentralisation '!AP11</f>
        <v>0</v>
      </c>
      <c r="K94" s="375">
        <f>'Decentralisation '!AQ11</f>
        <v>0</v>
      </c>
      <c r="L94" s="375">
        <f>'Decentralisation '!AR11</f>
        <v>24900</v>
      </c>
    </row>
    <row r="95" spans="1:12" ht="25.5">
      <c r="A95" s="836"/>
      <c r="B95" s="843"/>
      <c r="C95" s="407" t="s">
        <v>202</v>
      </c>
      <c r="D95" s="407" t="str">
        <f>'Decentralisation '!E12</f>
        <v>Standardization of HR management process in all LGUs (IPA A 1.2)</v>
      </c>
      <c r="E95" s="560"/>
      <c r="F95" s="375">
        <f>'Decentralisation '!AL12</f>
        <v>200000</v>
      </c>
      <c r="G95" s="375">
        <f>'Decentralisation '!AM12</f>
        <v>0</v>
      </c>
      <c r="H95" s="375">
        <f>'Decentralisation '!AN12</f>
        <v>200000</v>
      </c>
      <c r="I95" s="375">
        <f>'Decentralisation '!AO12</f>
        <v>0</v>
      </c>
      <c r="J95" s="375">
        <f>'Decentralisation '!AP12</f>
        <v>0</v>
      </c>
      <c r="K95" s="375">
        <f>'Decentralisation '!AQ12</f>
        <v>0</v>
      </c>
      <c r="L95" s="375">
        <f>'Decentralisation '!AR12</f>
        <v>0</v>
      </c>
    </row>
    <row r="96" spans="1:19" ht="15.75" customHeight="1">
      <c r="A96" s="384"/>
      <c r="B96" s="838" t="s">
        <v>617</v>
      </c>
      <c r="C96" s="839"/>
      <c r="D96" s="840"/>
      <c r="E96" s="565"/>
      <c r="F96" s="385">
        <f aca="true" t="shared" si="6" ref="F96:L96">SUM(F86:F95)</f>
        <v>3186525</v>
      </c>
      <c r="G96" s="385">
        <f t="shared" si="6"/>
        <v>70000</v>
      </c>
      <c r="H96" s="385">
        <f t="shared" si="6"/>
        <v>1000000</v>
      </c>
      <c r="I96" s="385">
        <f t="shared" si="6"/>
        <v>315000</v>
      </c>
      <c r="J96" s="385">
        <f t="shared" si="6"/>
        <v>0</v>
      </c>
      <c r="K96" s="385">
        <f t="shared" si="6"/>
        <v>0</v>
      </c>
      <c r="L96" s="385">
        <f t="shared" si="6"/>
        <v>1801525</v>
      </c>
      <c r="M96" s="489">
        <f>'Civil Service &amp; HRM'!AL15+'Decentralisation '!AL13</f>
        <v>3186525</v>
      </c>
      <c r="N96" s="489">
        <f>'Civil Service &amp; HRM'!AM15+'Decentralisation '!AM13</f>
        <v>70000</v>
      </c>
      <c r="O96" s="489">
        <f>'Civil Service &amp; HRM'!AN15+'Decentralisation '!AN13</f>
        <v>1000000</v>
      </c>
      <c r="P96" s="489">
        <f>'Civil Service &amp; HRM'!AO15+'Decentralisation '!AO13</f>
        <v>315000</v>
      </c>
      <c r="Q96" s="489">
        <f>'Civil Service &amp; HRM'!AP15+'Decentralisation '!AP13</f>
        <v>0</v>
      </c>
      <c r="R96" s="489">
        <f>'Civil Service &amp; HRM'!AQ15+'Decentralisation '!AQ13</f>
        <v>0</v>
      </c>
      <c r="S96" s="489">
        <f>'Civil Service &amp; HRM'!AR15+'Decentralisation '!AR13</f>
        <v>1801525</v>
      </c>
    </row>
    <row r="97" spans="1:19" ht="30" customHeight="1">
      <c r="A97" s="381">
        <v>5</v>
      </c>
      <c r="B97" s="844" t="s">
        <v>511</v>
      </c>
      <c r="C97" s="845"/>
      <c r="D97" s="845"/>
      <c r="E97" s="845"/>
      <c r="F97" s="845"/>
      <c r="G97" s="845"/>
      <c r="H97" s="845"/>
      <c r="I97" s="845"/>
      <c r="J97" s="845"/>
      <c r="K97" s="845"/>
      <c r="L97" s="846"/>
      <c r="M97" s="488">
        <f>F96-M96</f>
        <v>0</v>
      </c>
      <c r="N97" s="488">
        <f aca="true" t="shared" si="7" ref="N97:S97">G96-N96</f>
        <v>0</v>
      </c>
      <c r="O97" s="488">
        <f t="shared" si="7"/>
        <v>0</v>
      </c>
      <c r="P97" s="488">
        <f t="shared" si="7"/>
        <v>0</v>
      </c>
      <c r="Q97" s="488">
        <f t="shared" si="7"/>
        <v>0</v>
      </c>
      <c r="R97" s="488">
        <f t="shared" si="7"/>
        <v>0</v>
      </c>
      <c r="S97" s="488">
        <f t="shared" si="7"/>
        <v>0</v>
      </c>
    </row>
    <row r="98" spans="1:12" ht="21.75" customHeight="1">
      <c r="A98" s="837">
        <v>5.1</v>
      </c>
      <c r="B98" s="843" t="s">
        <v>618</v>
      </c>
      <c r="C98" s="407" t="s">
        <v>62</v>
      </c>
      <c r="D98" s="407" t="str">
        <f>Innovation!E10</f>
        <v>The strategy for the public service delivery</v>
      </c>
      <c r="E98" s="560"/>
      <c r="F98" s="375">
        <f>Innovation!AM10</f>
        <v>286960</v>
      </c>
      <c r="G98" s="375">
        <f>Innovation!AN10</f>
        <v>0</v>
      </c>
      <c r="H98" s="375">
        <f>Innovation!AO10</f>
        <v>0</v>
      </c>
      <c r="I98" s="375">
        <f>Innovation!AP10</f>
        <v>0</v>
      </c>
      <c r="J98" s="375">
        <f>Innovation!AQ10</f>
        <v>0</v>
      </c>
      <c r="K98" s="375">
        <f>Innovation!AR10</f>
        <v>286960</v>
      </c>
      <c r="L98" s="375">
        <f>Innovation!AS10</f>
        <v>0</v>
      </c>
    </row>
    <row r="99" spans="1:12" ht="34.5" customHeight="1">
      <c r="A99" s="837"/>
      <c r="B99" s="843"/>
      <c r="C99" s="407" t="s">
        <v>182</v>
      </c>
      <c r="D99" s="407" t="str">
        <f>Innovation!E11</f>
        <v>Establishment of ADISA and opening  of 4 pilot centers</v>
      </c>
      <c r="E99" s="560"/>
      <c r="F99" s="375">
        <f>Innovation!AM11</f>
        <v>3153610</v>
      </c>
      <c r="G99" s="375">
        <f>Innovation!AN11</f>
        <v>2038770</v>
      </c>
      <c r="H99" s="375">
        <f>Innovation!AO11</f>
        <v>0</v>
      </c>
      <c r="I99" s="375">
        <f>Innovation!AP11</f>
        <v>0</v>
      </c>
      <c r="J99" s="375">
        <f>Innovation!AQ11</f>
        <v>485722</v>
      </c>
      <c r="K99" s="375">
        <f>Innovation!AR11</f>
        <v>629118</v>
      </c>
      <c r="L99" s="375">
        <f>Innovation!AS11</f>
        <v>0</v>
      </c>
    </row>
    <row r="100" spans="1:12" ht="25.5">
      <c r="A100" s="837"/>
      <c r="B100" s="843"/>
      <c r="C100" s="407" t="s">
        <v>183</v>
      </c>
      <c r="D100" s="407" t="str">
        <f>Innovation!E12</f>
        <v>Establishment of the physical infrastructure of the One-Stop Shop and and its functioning</v>
      </c>
      <c r="E100" s="560"/>
      <c r="F100" s="375">
        <f>Innovation!AM12</f>
        <v>22364600</v>
      </c>
      <c r="G100" s="375">
        <f>Innovation!AN12</f>
        <v>7364600</v>
      </c>
      <c r="H100" s="375">
        <f>Innovation!AO12</f>
        <v>0</v>
      </c>
      <c r="I100" s="375">
        <f>Innovation!AP12</f>
        <v>0</v>
      </c>
      <c r="J100" s="375">
        <f>Innovation!AQ12</f>
        <v>15000000</v>
      </c>
      <c r="K100" s="375">
        <f>Innovation!AR12</f>
        <v>0</v>
      </c>
      <c r="L100" s="375">
        <f>Innovation!AS12</f>
        <v>0</v>
      </c>
    </row>
    <row r="101" spans="1:12" ht="54" customHeight="1">
      <c r="A101" s="412">
        <v>5.2</v>
      </c>
      <c r="B101" s="560" t="str">
        <f>Innovation!C13</f>
        <v>Adjusting the setup of institutions, which provide public services, under the one-stop shop model:</v>
      </c>
      <c r="C101" s="560" t="s">
        <v>62</v>
      </c>
      <c r="D101" s="560" t="str">
        <f>Innovation!E13</f>
        <v>Changing of the administrative structures based on the Study for the Re-organization of the Public Institutions</v>
      </c>
      <c r="E101" s="796" t="s">
        <v>287</v>
      </c>
      <c r="F101" s="375"/>
      <c r="G101" s="375"/>
      <c r="H101" s="375"/>
      <c r="I101" s="375"/>
      <c r="J101" s="375"/>
      <c r="K101" s="375"/>
      <c r="L101" s="375"/>
    </row>
    <row r="102" spans="1:12" ht="43.5" customHeight="1">
      <c r="A102" s="412">
        <v>5.3</v>
      </c>
      <c r="B102" s="407" t="s">
        <v>517</v>
      </c>
      <c r="C102" s="407" t="s">
        <v>224</v>
      </c>
      <c r="D102" s="407" t="str">
        <f>'Decentralisation '!C15</f>
        <v>Establishment of "one-stop-shops" for administrative services at local level. </v>
      </c>
      <c r="E102" s="560"/>
      <c r="F102" s="375">
        <f>'Decentralisation '!AL15</f>
        <v>7338000</v>
      </c>
      <c r="G102" s="375">
        <f>'Decentralisation '!AM15</f>
        <v>4300000</v>
      </c>
      <c r="H102" s="375">
        <f>'Decentralisation '!AN15</f>
        <v>0</v>
      </c>
      <c r="I102" s="375">
        <f>'Decentralisation '!AO15</f>
        <v>0</v>
      </c>
      <c r="J102" s="375">
        <f>'Decentralisation '!AP15</f>
        <v>0</v>
      </c>
      <c r="K102" s="375">
        <f>'Decentralisation '!AQ15</f>
        <v>0</v>
      </c>
      <c r="L102" s="375">
        <f>'Decentralisation '!AR15</f>
        <v>3038000</v>
      </c>
    </row>
    <row r="103" spans="1:19" ht="15.75" customHeight="1">
      <c r="A103" s="384"/>
      <c r="B103" s="838" t="s">
        <v>619</v>
      </c>
      <c r="C103" s="839"/>
      <c r="D103" s="840"/>
      <c r="E103" s="565"/>
      <c r="F103" s="385">
        <f aca="true" t="shared" si="8" ref="F103:L103">SUM(F98:F102)</f>
        <v>33143170</v>
      </c>
      <c r="G103" s="385">
        <f t="shared" si="8"/>
        <v>13703370</v>
      </c>
      <c r="H103" s="385">
        <f t="shared" si="8"/>
        <v>0</v>
      </c>
      <c r="I103" s="385">
        <f t="shared" si="8"/>
        <v>0</v>
      </c>
      <c r="J103" s="385">
        <f t="shared" si="8"/>
        <v>15485722</v>
      </c>
      <c r="K103" s="385">
        <f t="shared" si="8"/>
        <v>916078</v>
      </c>
      <c r="L103" s="385">
        <f t="shared" si="8"/>
        <v>3038000</v>
      </c>
      <c r="M103" s="489">
        <f>Innovation!AM14+'Decentralisation '!AL15</f>
        <v>33143170</v>
      </c>
      <c r="N103" s="489">
        <f>Innovation!AN14+'Decentralisation '!AM15</f>
        <v>13703370</v>
      </c>
      <c r="O103" s="489">
        <f>Innovation!AO14+'Decentralisation '!AN15</f>
        <v>0</v>
      </c>
      <c r="P103" s="489">
        <f>Innovation!AP14+'Decentralisation '!AO15</f>
        <v>0</v>
      </c>
      <c r="Q103" s="489">
        <f>Innovation!AQ14+'Decentralisation '!AP15</f>
        <v>15485722</v>
      </c>
      <c r="R103" s="489">
        <f>Innovation!AR14+'Decentralisation '!AQ15</f>
        <v>916078</v>
      </c>
      <c r="S103" s="489">
        <f>Innovation!AS14+'Decentralisation '!AR15</f>
        <v>3038000</v>
      </c>
    </row>
    <row r="104" spans="1:19" ht="33.75" customHeight="1">
      <c r="A104" s="389">
        <v>6</v>
      </c>
      <c r="B104" s="844" t="s">
        <v>620</v>
      </c>
      <c r="C104" s="845"/>
      <c r="D104" s="845"/>
      <c r="E104" s="845"/>
      <c r="F104" s="845"/>
      <c r="G104" s="845"/>
      <c r="H104" s="845"/>
      <c r="I104" s="845"/>
      <c r="J104" s="845"/>
      <c r="K104" s="845"/>
      <c r="L104" s="846"/>
      <c r="M104" s="488">
        <f>F103-M103</f>
        <v>0</v>
      </c>
      <c r="N104" s="488">
        <f aca="true" t="shared" si="9" ref="N104:S104">G103-N103</f>
        <v>0</v>
      </c>
      <c r="O104" s="488">
        <f t="shared" si="9"/>
        <v>0</v>
      </c>
      <c r="P104" s="488">
        <f t="shared" si="9"/>
        <v>0</v>
      </c>
      <c r="Q104" s="488">
        <f t="shared" si="9"/>
        <v>0</v>
      </c>
      <c r="R104" s="488">
        <f t="shared" si="9"/>
        <v>0</v>
      </c>
      <c r="S104" s="488">
        <f t="shared" si="9"/>
        <v>0</v>
      </c>
    </row>
    <row r="105" spans="1:12" ht="38.25">
      <c r="A105" s="387"/>
      <c r="B105" s="406"/>
      <c r="C105" s="407" t="s">
        <v>197</v>
      </c>
      <c r="D105" s="407" t="str">
        <f>'Civil Service &amp; HRM'!E17</f>
        <v>The evaluation of the compliance of the new Civil Service Law regarding the current management and control structures.  </v>
      </c>
      <c r="E105" s="560"/>
      <c r="F105" s="375">
        <f>'Civil Service &amp; HRM'!AL17</f>
        <v>50000</v>
      </c>
      <c r="G105" s="375">
        <f>'Civil Service &amp; HRM'!AM17</f>
        <v>50000</v>
      </c>
      <c r="H105" s="375">
        <f>'Civil Service &amp; HRM'!AN17</f>
        <v>0</v>
      </c>
      <c r="I105" s="375">
        <f>'Civil Service &amp; HRM'!AO17</f>
        <v>0</v>
      </c>
      <c r="J105" s="375">
        <f>'Civil Service &amp; HRM'!AP17</f>
        <v>0</v>
      </c>
      <c r="K105" s="375">
        <f>'Civil Service &amp; HRM'!AQ17</f>
        <v>0</v>
      </c>
      <c r="L105" s="375">
        <f>'Civil Service &amp; HRM'!AR17</f>
        <v>0</v>
      </c>
    </row>
    <row r="106" spans="1:12" ht="33" customHeight="1">
      <c r="A106" s="841">
        <v>6.2</v>
      </c>
      <c r="B106" s="841" t="s">
        <v>268</v>
      </c>
      <c r="C106" s="407" t="s">
        <v>176</v>
      </c>
      <c r="D106" s="407" t="str">
        <f>'Civil Service &amp; HRM'!E18</f>
        <v>Study of the structures' capacity   carried out by DoPA</v>
      </c>
      <c r="E106" s="560"/>
      <c r="F106" s="375">
        <f>'Civil Service &amp; HRM'!AL18</f>
        <v>60000</v>
      </c>
      <c r="G106" s="375">
        <f>'Civil Service &amp; HRM'!AM18</f>
        <v>60000</v>
      </c>
      <c r="H106" s="375">
        <f>'Civil Service &amp; HRM'!AN18</f>
        <v>0</v>
      </c>
      <c r="I106" s="375">
        <f>'Civil Service &amp; HRM'!AO18</f>
        <v>0</v>
      </c>
      <c r="J106" s="375">
        <f>'Civil Service &amp; HRM'!AP18</f>
        <v>0</v>
      </c>
      <c r="K106" s="375">
        <f>'Civil Service &amp; HRM'!AQ18</f>
        <v>0</v>
      </c>
      <c r="L106" s="375">
        <f>'Civil Service &amp; HRM'!AR18</f>
        <v>0</v>
      </c>
    </row>
    <row r="107" spans="1:12" ht="39" customHeight="1">
      <c r="A107" s="862"/>
      <c r="B107" s="862"/>
      <c r="C107" s="407" t="s">
        <v>177</v>
      </c>
      <c r="D107" s="407" t="str">
        <f>'Civil Service &amp; HRM'!E19</f>
        <v>The methodology of long-term human resource planning.</v>
      </c>
      <c r="E107" s="560"/>
      <c r="F107" s="375">
        <f>'Civil Service &amp; HRM'!AL19</f>
        <v>19900</v>
      </c>
      <c r="G107" s="375">
        <f>'Civil Service &amp; HRM'!AM19</f>
        <v>0</v>
      </c>
      <c r="H107" s="375">
        <f>'Civil Service &amp; HRM'!AN19</f>
        <v>0</v>
      </c>
      <c r="I107" s="375">
        <f>'Civil Service &amp; HRM'!AO19</f>
        <v>0</v>
      </c>
      <c r="J107" s="375">
        <f>'Civil Service &amp; HRM'!AP19</f>
        <v>0</v>
      </c>
      <c r="K107" s="375">
        <f>'Civil Service &amp; HRM'!AQ19</f>
        <v>0</v>
      </c>
      <c r="L107" s="375">
        <f>'Civil Service &amp; HRM'!AR19</f>
        <v>19900</v>
      </c>
    </row>
    <row r="108" spans="1:12" ht="53.25" customHeight="1">
      <c r="A108" s="842"/>
      <c r="B108" s="842"/>
      <c r="C108" s="407" t="s">
        <v>196</v>
      </c>
      <c r="D108" s="407" t="str">
        <f>'Civil Service &amp; HRM'!E20</f>
        <v>Training program specifically for long-term human resource planning.</v>
      </c>
      <c r="E108" s="796" t="s">
        <v>622</v>
      </c>
      <c r="F108" s="375">
        <f>'Civil Service &amp; HRM'!AL20</f>
        <v>0</v>
      </c>
      <c r="G108" s="375">
        <f>'Civil Service &amp; HRM'!AM20</f>
        <v>0</v>
      </c>
      <c r="H108" s="375">
        <f>'Civil Service &amp; HRM'!AN20</f>
        <v>0</v>
      </c>
      <c r="I108" s="375">
        <f>'Civil Service &amp; HRM'!AO20</f>
        <v>0</v>
      </c>
      <c r="J108" s="375">
        <f>'Civil Service &amp; HRM'!AP20</f>
        <v>0</v>
      </c>
      <c r="K108" s="375">
        <f>'Civil Service &amp; HRM'!AQ20</f>
        <v>0</v>
      </c>
      <c r="L108" s="375">
        <f>'Civil Service &amp; HRM'!AR20</f>
        <v>0</v>
      </c>
    </row>
    <row r="109" spans="1:12" ht="60.75" customHeight="1">
      <c r="A109" s="377">
        <v>6.3</v>
      </c>
      <c r="B109" s="796" t="s">
        <v>621</v>
      </c>
      <c r="C109" s="407" t="s">
        <v>180</v>
      </c>
      <c r="D109" s="407" t="str">
        <f>'Civil Service &amp; HRM'!E21</f>
        <v>Training courses provided through the ASPA programs.</v>
      </c>
      <c r="E109" s="796" t="s">
        <v>623</v>
      </c>
      <c r="F109" s="375">
        <f>'Civil Service &amp; HRM'!AL21</f>
        <v>0</v>
      </c>
      <c r="G109" s="375">
        <f>'Civil Service &amp; HRM'!AM21</f>
        <v>0</v>
      </c>
      <c r="H109" s="375">
        <f>'Civil Service &amp; HRM'!AN21</f>
        <v>0</v>
      </c>
      <c r="I109" s="375">
        <f>'Civil Service &amp; HRM'!AO21</f>
        <v>0</v>
      </c>
      <c r="J109" s="375">
        <f>'Civil Service &amp; HRM'!AP21</f>
        <v>0</v>
      </c>
      <c r="K109" s="375">
        <f>'Civil Service &amp; HRM'!AQ21</f>
        <v>0</v>
      </c>
      <c r="L109" s="375">
        <f>'Civil Service &amp; HRM'!AR21</f>
        <v>0</v>
      </c>
    </row>
    <row r="110" spans="1:12" ht="43.5" customHeight="1">
      <c r="A110" s="836">
        <v>6.4</v>
      </c>
      <c r="B110" s="843" t="s">
        <v>624</v>
      </c>
      <c r="C110" s="407" t="s">
        <v>179</v>
      </c>
      <c r="D110" s="407" t="str">
        <f>'Civil Service &amp; HRM'!E22</f>
        <v>The establishment of mechanisms to strengthen the cooperation between CSC and public administration institutions (IPA A.2.3).</v>
      </c>
      <c r="E110" s="560"/>
      <c r="F110" s="375">
        <f>'Civil Service &amp; HRM'!AL22</f>
        <v>300000</v>
      </c>
      <c r="G110" s="375">
        <f>'Civil Service &amp; HRM'!AM22</f>
        <v>0</v>
      </c>
      <c r="H110" s="375">
        <f>'Civil Service &amp; HRM'!AN22</f>
        <v>300000</v>
      </c>
      <c r="I110" s="375">
        <f>'Civil Service &amp; HRM'!AO22</f>
        <v>0</v>
      </c>
      <c r="J110" s="375">
        <f>'Civil Service &amp; HRM'!AP22</f>
        <v>0</v>
      </c>
      <c r="K110" s="375">
        <f>'Civil Service &amp; HRM'!AQ22</f>
        <v>0</v>
      </c>
      <c r="L110" s="375">
        <f>'Civil Service &amp; HRM'!AR22</f>
        <v>0</v>
      </c>
    </row>
    <row r="111" spans="1:12" ht="36.75" customHeight="1">
      <c r="A111" s="836"/>
      <c r="B111" s="843"/>
      <c r="C111" s="407" t="s">
        <v>178</v>
      </c>
      <c r="D111" s="407" t="str">
        <f>'Civil Service &amp; HRM'!E23</f>
        <v>CSC capacity building (IPA A.2.4 partially).</v>
      </c>
      <c r="E111" s="560"/>
      <c r="F111" s="375">
        <f>'Civil Service &amp; HRM'!AL23</f>
        <v>50000</v>
      </c>
      <c r="G111" s="375">
        <f>'Civil Service &amp; HRM'!AM23</f>
        <v>0</v>
      </c>
      <c r="H111" s="375">
        <f>'Civil Service &amp; HRM'!AN23</f>
        <v>50000</v>
      </c>
      <c r="I111" s="375">
        <f>'Civil Service &amp; HRM'!AO23</f>
        <v>0</v>
      </c>
      <c r="J111" s="375">
        <f>'Civil Service &amp; HRM'!AP23</f>
        <v>0</v>
      </c>
      <c r="K111" s="375">
        <f>'Civil Service &amp; HRM'!AQ23</f>
        <v>0</v>
      </c>
      <c r="L111" s="375">
        <f>'Civil Service &amp; HRM'!AR23</f>
        <v>0</v>
      </c>
    </row>
    <row r="112" spans="1:12" ht="26.25" customHeight="1">
      <c r="A112" s="836">
        <v>6.5</v>
      </c>
      <c r="B112" s="843" t="s">
        <v>625</v>
      </c>
      <c r="C112" s="407" t="s">
        <v>144</v>
      </c>
      <c r="D112" s="407" t="str">
        <f>'Civil Service &amp; HRM'!E24</f>
        <v>Establishment of the platform of the  system. </v>
      </c>
      <c r="E112" s="560"/>
      <c r="F112" s="375">
        <f>'Civil Service &amp; HRM'!AL24</f>
        <v>65000</v>
      </c>
      <c r="G112" s="375">
        <f>'Civil Service &amp; HRM'!AM24</f>
        <v>5000</v>
      </c>
      <c r="H112" s="375">
        <f>'Civil Service &amp; HRM'!AN24</f>
        <v>0</v>
      </c>
      <c r="I112" s="375">
        <f>'Civil Service &amp; HRM'!AO24</f>
        <v>0</v>
      </c>
      <c r="J112" s="375">
        <f>'Civil Service &amp; HRM'!AP24</f>
        <v>60000</v>
      </c>
      <c r="K112" s="375">
        <f>'Civil Service &amp; HRM'!AQ24</f>
        <v>0</v>
      </c>
      <c r="L112" s="375">
        <f>'Civil Service &amp; HRM'!AR24</f>
        <v>0</v>
      </c>
    </row>
    <row r="113" spans="1:12" ht="31.5" customHeight="1">
      <c r="A113" s="836"/>
      <c r="B113" s="843"/>
      <c r="C113" s="407" t="s">
        <v>145</v>
      </c>
      <c r="D113" s="407" t="str">
        <f>'Civil Service &amp; HRM'!E25</f>
        <v>Bank of Questions for the Conducted Testing (for 10 disciplines).</v>
      </c>
      <c r="E113" s="560"/>
      <c r="F113" s="375">
        <f>'Civil Service &amp; HRM'!AL25</f>
        <v>445000</v>
      </c>
      <c r="G113" s="375">
        <f>'Civil Service &amp; HRM'!AM25</f>
        <v>50000</v>
      </c>
      <c r="H113" s="375">
        <f>'Civil Service &amp; HRM'!AN25</f>
        <v>0</v>
      </c>
      <c r="I113" s="375">
        <f>'Civil Service &amp; HRM'!AO25</f>
        <v>0</v>
      </c>
      <c r="J113" s="375">
        <f>'Civil Service &amp; HRM'!AP25</f>
        <v>0</v>
      </c>
      <c r="K113" s="375">
        <f>'Civil Service &amp; HRM'!AQ25</f>
        <v>0</v>
      </c>
      <c r="L113" s="375">
        <f>'Civil Service &amp; HRM'!AR25</f>
        <v>395000</v>
      </c>
    </row>
    <row r="114" spans="1:12" ht="28.5" customHeight="1">
      <c r="A114" s="836"/>
      <c r="B114" s="843"/>
      <c r="C114" s="407" t="s">
        <v>146</v>
      </c>
      <c r="D114" s="407" t="str">
        <f>'Civil Service &amp; HRM'!E26</f>
        <v>Questions Systems Tested</v>
      </c>
      <c r="E114" s="560"/>
      <c r="F114" s="375">
        <f>'Civil Service &amp; HRM'!AL26</f>
        <v>30000</v>
      </c>
      <c r="G114" s="375">
        <f>'Civil Service &amp; HRM'!AM26</f>
        <v>30000</v>
      </c>
      <c r="H114" s="375">
        <f>'Civil Service &amp; HRM'!AN26</f>
        <v>0</v>
      </c>
      <c r="I114" s="375">
        <f>'Civil Service &amp; HRM'!AO26</f>
        <v>0</v>
      </c>
      <c r="J114" s="375">
        <f>'Civil Service &amp; HRM'!AP26</f>
        <v>0</v>
      </c>
      <c r="K114" s="375">
        <f>'Civil Service &amp; HRM'!AQ26</f>
        <v>0</v>
      </c>
      <c r="L114" s="375">
        <f>'Civil Service &amp; HRM'!AR26</f>
        <v>0</v>
      </c>
    </row>
    <row r="115" spans="1:12" ht="33.75" customHeight="1">
      <c r="A115" s="836"/>
      <c r="B115" s="843"/>
      <c r="C115" s="407" t="s">
        <v>147</v>
      </c>
      <c r="D115" s="407" t="str">
        <f>'Civil Service &amp; HRM'!E27</f>
        <v>Automatic Test System Developed (for 15 disciplines).</v>
      </c>
      <c r="E115" s="560"/>
      <c r="F115" s="375">
        <f>'Civil Service &amp; HRM'!AL27</f>
        <v>213000</v>
      </c>
      <c r="G115" s="375">
        <f>'Civil Service &amp; HRM'!AM27</f>
        <v>5000</v>
      </c>
      <c r="H115" s="375">
        <f>'Civil Service &amp; HRM'!AN27</f>
        <v>0</v>
      </c>
      <c r="I115" s="375">
        <f>'Civil Service &amp; HRM'!AO27</f>
        <v>0</v>
      </c>
      <c r="J115" s="375">
        <f>'Civil Service &amp; HRM'!AP27</f>
        <v>0</v>
      </c>
      <c r="K115" s="375">
        <f>'Civil Service &amp; HRM'!AQ27</f>
        <v>0</v>
      </c>
      <c r="L115" s="375">
        <f>'Civil Service &amp; HRM'!AR27</f>
        <v>208000</v>
      </c>
    </row>
    <row r="116" spans="1:12" ht="50.25" customHeight="1">
      <c r="A116" s="836" t="s">
        <v>144</v>
      </c>
      <c r="B116" s="841" t="s">
        <v>626</v>
      </c>
      <c r="C116" s="560" t="s">
        <v>225</v>
      </c>
      <c r="D116" s="560" t="str">
        <f>'Transparency &amp; Anti-corruption '!E13</f>
        <v>Reviewing of the admission test during recruitment in regard to incorporation of specific questions regarding the integrity evaluation. </v>
      </c>
      <c r="E116" s="796" t="s">
        <v>287</v>
      </c>
      <c r="F116" s="375">
        <f>'Transparency &amp; Anti-corruption '!AL13</f>
        <v>0</v>
      </c>
      <c r="G116" s="375">
        <f>'Transparency &amp; Anti-corruption '!AM13</f>
        <v>0</v>
      </c>
      <c r="H116" s="375">
        <f>'Transparency &amp; Anti-corruption '!AN13</f>
        <v>0</v>
      </c>
      <c r="I116" s="375">
        <f>'Transparency &amp; Anti-corruption '!AO13</f>
        <v>0</v>
      </c>
      <c r="J116" s="375">
        <f>'Transparency &amp; Anti-corruption '!AP13</f>
        <v>0</v>
      </c>
      <c r="K116" s="375">
        <f>'Transparency &amp; Anti-corruption '!AQ13</f>
        <v>0</v>
      </c>
      <c r="L116" s="375">
        <f>'Transparency &amp; Anti-corruption '!AR13</f>
        <v>0</v>
      </c>
    </row>
    <row r="117" spans="1:12" ht="30.75" customHeight="1">
      <c r="A117" s="836"/>
      <c r="B117" s="862"/>
      <c r="C117" s="560" t="s">
        <v>226</v>
      </c>
      <c r="D117" s="560" t="str">
        <f>'Transparency &amp; Anti-corruption '!E14</f>
        <v>Evaluation of integrity during annual performance appraisal.</v>
      </c>
      <c r="E117" s="796" t="s">
        <v>287</v>
      </c>
      <c r="F117" s="375">
        <f>'Transparency &amp; Anti-corruption '!AL14</f>
        <v>0</v>
      </c>
      <c r="G117" s="375">
        <f>'Transparency &amp; Anti-corruption '!AM14</f>
        <v>0</v>
      </c>
      <c r="H117" s="375">
        <f>'Transparency &amp; Anti-corruption '!AN14</f>
        <v>0</v>
      </c>
      <c r="I117" s="375">
        <f>'Transparency &amp; Anti-corruption '!AO14</f>
        <v>0</v>
      </c>
      <c r="J117" s="375">
        <f>'Transparency &amp; Anti-corruption '!AP14</f>
        <v>0</v>
      </c>
      <c r="K117" s="375">
        <f>'Transparency &amp; Anti-corruption '!AQ14</f>
        <v>0</v>
      </c>
      <c r="L117" s="375">
        <f>'Transparency &amp; Anti-corruption '!AR14</f>
        <v>0</v>
      </c>
    </row>
    <row r="118" spans="1:12" ht="42.75" customHeight="1">
      <c r="A118" s="836">
        <v>6.6</v>
      </c>
      <c r="B118" s="843" t="s">
        <v>627</v>
      </c>
      <c r="C118" s="407" t="str">
        <f>'Civil Service &amp; HRM'!D28</f>
        <v>6.6.1</v>
      </c>
      <c r="D118" s="407" t="str">
        <f>'Civil Service &amp; HRM'!E28</f>
        <v>Evaluation study for 17 systems (2 local expert and 5 foreign experts).</v>
      </c>
      <c r="E118" s="560"/>
      <c r="F118" s="375">
        <f>'Civil Service &amp; HRM'!AL28</f>
        <v>348000</v>
      </c>
      <c r="G118" s="375">
        <f>'Civil Service &amp; HRM'!AM28</f>
        <v>0</v>
      </c>
      <c r="H118" s="375">
        <f>'Civil Service &amp; HRM'!AN28</f>
        <v>0</v>
      </c>
      <c r="I118" s="375">
        <f>'Civil Service &amp; HRM'!AO28</f>
        <v>0</v>
      </c>
      <c r="J118" s="375">
        <f>'Civil Service &amp; HRM'!AP28</f>
        <v>0</v>
      </c>
      <c r="K118" s="375">
        <f>'Civil Service &amp; HRM'!AQ28</f>
        <v>0</v>
      </c>
      <c r="L118" s="375">
        <f>'Civil Service &amp; HRM'!AR28</f>
        <v>348000</v>
      </c>
    </row>
    <row r="119" spans="1:12" ht="47.25" customHeight="1">
      <c r="A119" s="836"/>
      <c r="B119" s="843"/>
      <c r="C119" s="407" t="str">
        <f>'Civil Service &amp; HRM'!D29</f>
        <v>6.6.2</v>
      </c>
      <c r="D119" s="407" t="str">
        <f>'Civil Service &amp; HRM'!E29</f>
        <v>Training of the staff of ministries to use standard forms (4 trainings X 20 persons/training X 3 days training).</v>
      </c>
      <c r="E119" s="560"/>
      <c r="F119" s="375">
        <f>'Civil Service &amp; HRM'!AL29</f>
        <v>11200</v>
      </c>
      <c r="G119" s="375">
        <f>'Civil Service &amp; HRM'!AM29</f>
        <v>0</v>
      </c>
      <c r="H119" s="375">
        <f>'Civil Service &amp; HRM'!AN29</f>
        <v>0</v>
      </c>
      <c r="I119" s="375">
        <f>'Civil Service &amp; HRM'!AO29</f>
        <v>0</v>
      </c>
      <c r="J119" s="375">
        <f>'Civil Service &amp; HRM'!AP29</f>
        <v>0</v>
      </c>
      <c r="K119" s="375">
        <f>'Civil Service &amp; HRM'!AQ29</f>
        <v>0</v>
      </c>
      <c r="L119" s="375">
        <f>'Civil Service &amp; HRM'!AR29</f>
        <v>11200</v>
      </c>
    </row>
    <row r="120" spans="1:12" ht="39.75" customHeight="1">
      <c r="A120" s="836">
        <v>6.7</v>
      </c>
      <c r="B120" s="843" t="s">
        <v>628</v>
      </c>
      <c r="C120" s="407" t="s">
        <v>150</v>
      </c>
      <c r="D120" s="407" t="str">
        <f>'Civil Service &amp; HRM'!E30</f>
        <v>Monitoring system developed </v>
      </c>
      <c r="E120" s="560"/>
      <c r="F120" s="375">
        <f>'Civil Service &amp; HRM'!AL30</f>
        <v>130000</v>
      </c>
      <c r="G120" s="375">
        <f>'Civil Service &amp; HRM'!AM30</f>
        <v>0</v>
      </c>
      <c r="H120" s="375">
        <f>'Civil Service &amp; HRM'!AN30</f>
        <v>0</v>
      </c>
      <c r="I120" s="375">
        <f>'Civil Service &amp; HRM'!AO30</f>
        <v>0</v>
      </c>
      <c r="J120" s="375">
        <f>'Civil Service &amp; HRM'!AP30</f>
        <v>0</v>
      </c>
      <c r="K120" s="375">
        <f>'Civil Service &amp; HRM'!AQ30</f>
        <v>0</v>
      </c>
      <c r="L120" s="375">
        <f>'Civil Service &amp; HRM'!AR30</f>
        <v>130000</v>
      </c>
    </row>
    <row r="121" spans="1:12" ht="52.5" customHeight="1">
      <c r="A121" s="836"/>
      <c r="B121" s="843"/>
      <c r="C121" s="407" t="s">
        <v>151</v>
      </c>
      <c r="D121" s="407" t="str">
        <f>'Civil Service &amp; HRM'!E31</f>
        <v>Monitoring Reports published</v>
      </c>
      <c r="E121" s="560"/>
      <c r="F121" s="375">
        <f>'Civil Service &amp; HRM'!AL31</f>
        <v>8000</v>
      </c>
      <c r="G121" s="375">
        <f>'Civil Service &amp; HRM'!AM31</f>
        <v>0</v>
      </c>
      <c r="H121" s="375">
        <f>'Civil Service &amp; HRM'!AN31</f>
        <v>0</v>
      </c>
      <c r="I121" s="375">
        <f>'Civil Service &amp; HRM'!AO31</f>
        <v>0</v>
      </c>
      <c r="J121" s="375">
        <f>'Civil Service &amp; HRM'!AP31</f>
        <v>0</v>
      </c>
      <c r="K121" s="375">
        <f>'Civil Service &amp; HRM'!AQ31</f>
        <v>0</v>
      </c>
      <c r="L121" s="375">
        <f>'Civil Service &amp; HRM'!AR31</f>
        <v>8000</v>
      </c>
    </row>
    <row r="122" spans="1:12" ht="47.25" customHeight="1">
      <c r="A122" s="836">
        <v>6.8</v>
      </c>
      <c r="B122" s="841" t="s">
        <v>629</v>
      </c>
      <c r="C122" s="407" t="s">
        <v>105</v>
      </c>
      <c r="D122" s="407" t="str">
        <f>'Civil Service &amp; HRM'!E32</f>
        <v>Adaptation and activation of modules and HRMIS interoperability  and rroll out.</v>
      </c>
      <c r="E122" s="560"/>
      <c r="F122" s="375">
        <f>'Civil Service &amp; HRM'!AL32</f>
        <v>308000</v>
      </c>
      <c r="G122" s="375">
        <f>'Civil Service &amp; HRM'!AM32</f>
        <v>20000</v>
      </c>
      <c r="H122" s="375">
        <f>'Civil Service &amp; HRM'!AN32</f>
        <v>0</v>
      </c>
      <c r="I122" s="375">
        <f>'Civil Service &amp; HRM'!AO32</f>
        <v>0</v>
      </c>
      <c r="J122" s="375">
        <f>'Civil Service &amp; HRM'!AP32</f>
        <v>288000</v>
      </c>
      <c r="K122" s="375">
        <f>'Civil Service &amp; HRM'!AQ32</f>
        <v>0</v>
      </c>
      <c r="L122" s="375">
        <f>'Civil Service &amp; HRM'!AR32</f>
        <v>0</v>
      </c>
    </row>
    <row r="123" spans="1:12" ht="47.25" customHeight="1">
      <c r="A123" s="836"/>
      <c r="B123" s="862"/>
      <c r="C123" s="407" t="s">
        <v>107</v>
      </c>
      <c r="D123" s="407" t="str">
        <f>'Civil Service &amp; HRM'!E33</f>
        <v>Training of 500 HRM staff (Total 20 trainings; 3 training days x 25 persons/training).</v>
      </c>
      <c r="E123" s="560"/>
      <c r="F123" s="375">
        <f>'Civil Service &amp; HRM'!AL33</f>
        <v>158550</v>
      </c>
      <c r="G123" s="375">
        <f>'Civil Service &amp; HRM'!AM33</f>
        <v>0</v>
      </c>
      <c r="H123" s="375">
        <f>'Civil Service &amp; HRM'!AN33</f>
        <v>0</v>
      </c>
      <c r="I123" s="375">
        <f>'Civil Service &amp; HRM'!AO33</f>
        <v>0</v>
      </c>
      <c r="J123" s="375">
        <f>'Civil Service &amp; HRM'!AP33</f>
        <v>0</v>
      </c>
      <c r="K123" s="375">
        <f>'Civil Service &amp; HRM'!AQ33</f>
        <v>0</v>
      </c>
      <c r="L123" s="375">
        <f>'Civil Service &amp; HRM'!AR33</f>
        <v>158550</v>
      </c>
    </row>
    <row r="124" spans="1:12" ht="47.25" customHeight="1">
      <c r="A124" s="836"/>
      <c r="B124" s="862"/>
      <c r="C124" s="407" t="s">
        <v>108</v>
      </c>
      <c r="D124" s="407" t="str">
        <f>'Civil Service &amp; HRM'!E34</f>
        <v>System analysis of the functioning of HRMIS accomplished.</v>
      </c>
      <c r="E124" s="560"/>
      <c r="F124" s="375">
        <f>'Civil Service &amp; HRM'!AL34</f>
        <v>30000</v>
      </c>
      <c r="G124" s="375">
        <f>'Civil Service &amp; HRM'!AM34</f>
        <v>30000</v>
      </c>
      <c r="H124" s="375">
        <f>'Civil Service &amp; HRM'!AN34</f>
        <v>0</v>
      </c>
      <c r="I124" s="375">
        <f>'Civil Service &amp; HRM'!AO34</f>
        <v>0</v>
      </c>
      <c r="J124" s="375">
        <f>'Civil Service &amp; HRM'!AP34</f>
        <v>0</v>
      </c>
      <c r="K124" s="375">
        <f>'Civil Service &amp; HRM'!AQ34</f>
        <v>0</v>
      </c>
      <c r="L124" s="375">
        <f>'Civil Service &amp; HRM'!AR34</f>
        <v>0</v>
      </c>
    </row>
    <row r="125" spans="1:12" ht="47.25" customHeight="1">
      <c r="A125" s="836"/>
      <c r="B125" s="862"/>
      <c r="C125" s="407" t="s">
        <v>109</v>
      </c>
      <c r="D125" s="407" t="str">
        <f>'Civil Service &amp; HRM'!E35</f>
        <v>System Maintenance (50 persons trained each 2 years - new HRM specialists).</v>
      </c>
      <c r="E125" s="560"/>
      <c r="F125" s="375">
        <f>'Civil Service &amp; HRM'!AL35</f>
        <v>36150</v>
      </c>
      <c r="G125" s="375">
        <f>'Civil Service &amp; HRM'!AM35</f>
        <v>0</v>
      </c>
      <c r="H125" s="375">
        <f>'Civil Service &amp; HRM'!AN35</f>
        <v>0</v>
      </c>
      <c r="I125" s="375">
        <f>'Civil Service &amp; HRM'!AO35</f>
        <v>0</v>
      </c>
      <c r="J125" s="375">
        <f>'Civil Service &amp; HRM'!AP35</f>
        <v>0</v>
      </c>
      <c r="K125" s="375">
        <f>'Civil Service &amp; HRM'!AQ35</f>
        <v>0</v>
      </c>
      <c r="L125" s="375">
        <f>'Civil Service &amp; HRM'!AR35</f>
        <v>36150</v>
      </c>
    </row>
    <row r="126" spans="1:12" ht="47.25" customHeight="1" thickBot="1">
      <c r="A126" s="388"/>
      <c r="B126" s="862"/>
      <c r="C126" s="409" t="s">
        <v>222</v>
      </c>
      <c r="D126" s="409" t="str">
        <f>'Civil Service &amp; HRM'!E36</f>
        <v>The establishment of system for professional advancement in Civil Service (IPA A.1.4).</v>
      </c>
      <c r="E126" s="562"/>
      <c r="F126" s="434">
        <f>'Civil Service &amp; HRM'!AL36</f>
        <v>350000</v>
      </c>
      <c r="G126" s="434">
        <f>'Civil Service &amp; HRM'!AM36</f>
        <v>0</v>
      </c>
      <c r="H126" s="434">
        <f>'Civil Service &amp; HRM'!AN36</f>
        <v>350000</v>
      </c>
      <c r="I126" s="434">
        <f>'Civil Service &amp; HRM'!AO36</f>
        <v>0</v>
      </c>
      <c r="J126" s="434">
        <f>'Civil Service &amp; HRM'!AP36</f>
        <v>0</v>
      </c>
      <c r="K126" s="434">
        <f>'Civil Service &amp; HRM'!AQ36</f>
        <v>0</v>
      </c>
      <c r="L126" s="434">
        <f>'Civil Service &amp; HRM'!AR36</f>
        <v>0</v>
      </c>
    </row>
    <row r="127" spans="1:12" ht="62.25" customHeight="1">
      <c r="A127" s="889">
        <v>6.9</v>
      </c>
      <c r="B127" s="884" t="s">
        <v>630</v>
      </c>
      <c r="C127" s="436" t="s">
        <v>153</v>
      </c>
      <c r="D127" s="436" t="str">
        <f>ASPA!D8</f>
        <v>Updating and development of a series of units and program activities that reflect the changing demands and needs of the Law on the Civil Servant. </v>
      </c>
      <c r="E127" s="436"/>
      <c r="F127" s="437">
        <f>ASPA!AU8</f>
        <v>119992</v>
      </c>
      <c r="G127" s="437">
        <f>ASPA!AV8</f>
        <v>35610</v>
      </c>
      <c r="H127" s="437">
        <f>ASPA!AW8</f>
        <v>84382</v>
      </c>
      <c r="I127" s="437">
        <f>ASPA!AX8</f>
        <v>0</v>
      </c>
      <c r="J127" s="437">
        <f>ASPA!AY8</f>
        <v>0</v>
      </c>
      <c r="K127" s="437">
        <f>ASPA!AZ8</f>
        <v>0</v>
      </c>
      <c r="L127" s="438">
        <f>ASPA!BA8</f>
        <v>0</v>
      </c>
    </row>
    <row r="128" spans="1:12" ht="45" customHeight="1">
      <c r="A128" s="890"/>
      <c r="B128" s="885"/>
      <c r="C128" s="407" t="s">
        <v>154</v>
      </c>
      <c r="D128" s="407" t="str">
        <f>ASPA!D10</f>
        <v>Identification in a regular manner of the training needs through  of training needs analysis.  </v>
      </c>
      <c r="E128" s="560"/>
      <c r="F128" s="375">
        <f>ASPA!AU10</f>
        <v>22050</v>
      </c>
      <c r="G128" s="375">
        <f>ASPA!AV10</f>
        <v>7386.75</v>
      </c>
      <c r="H128" s="375">
        <f>ASPA!AW10</f>
        <v>14663.25</v>
      </c>
      <c r="I128" s="375">
        <f>ASPA!AX10</f>
        <v>0</v>
      </c>
      <c r="J128" s="375">
        <f>ASPA!AY10</f>
        <v>0</v>
      </c>
      <c r="K128" s="375">
        <f>ASPA!AZ10</f>
        <v>0</v>
      </c>
      <c r="L128" s="439">
        <f>ASPA!BA10</f>
        <v>0</v>
      </c>
    </row>
    <row r="129" spans="1:12" ht="50.25" customHeight="1">
      <c r="A129" s="890"/>
      <c r="B129" s="885"/>
      <c r="C129" s="407" t="s">
        <v>155</v>
      </c>
      <c r="D129" s="407" t="str">
        <f>ASPA!D11</f>
        <v> Increasing the number of training programs in the field of European Integration.  </v>
      </c>
      <c r="E129" s="560"/>
      <c r="F129" s="375">
        <f>ASPA!AU11</f>
        <v>49500</v>
      </c>
      <c r="G129" s="375">
        <f>ASPA!AV11</f>
        <v>0</v>
      </c>
      <c r="H129" s="375">
        <f>ASPA!AW11</f>
        <v>49500</v>
      </c>
      <c r="I129" s="375">
        <f>ASPA!AX11</f>
        <v>0</v>
      </c>
      <c r="J129" s="375">
        <f>ASPA!AY11</f>
        <v>0</v>
      </c>
      <c r="K129" s="375">
        <f>ASPA!AZ11</f>
        <v>0</v>
      </c>
      <c r="L129" s="439">
        <f>ASPA!BA11</f>
        <v>0</v>
      </c>
    </row>
    <row r="130" spans="1:12" ht="69.75" customHeight="1">
      <c r="A130" s="890"/>
      <c r="B130" s="885"/>
      <c r="C130" s="407" t="s">
        <v>156</v>
      </c>
      <c r="D130" s="407" t="str">
        <f>ASPA!D12</f>
        <v>Updating and development of the  specialized trainers group - This will be achieved through continuous updating of the database of potential experts and through professional development program in the workplace. </v>
      </c>
      <c r="E130" s="796" t="s">
        <v>287</v>
      </c>
      <c r="F130" s="375">
        <f>ASPA!AU12</f>
        <v>0</v>
      </c>
      <c r="G130" s="375">
        <f>ASPA!AV12</f>
        <v>0</v>
      </c>
      <c r="H130" s="375">
        <f>ASPA!AW12</f>
        <v>0</v>
      </c>
      <c r="I130" s="375">
        <f>ASPA!AX12</f>
        <v>0</v>
      </c>
      <c r="J130" s="375">
        <f>ASPA!AY12</f>
        <v>0</v>
      </c>
      <c r="K130" s="375">
        <f>ASPA!AZ12</f>
        <v>0</v>
      </c>
      <c r="L130" s="439">
        <f>ASPA!BA12</f>
        <v>0</v>
      </c>
    </row>
    <row r="131" spans="1:12" ht="48" customHeight="1">
      <c r="A131" s="890"/>
      <c r="B131" s="885"/>
      <c r="C131" s="407" t="s">
        <v>157</v>
      </c>
      <c r="D131" s="407" t="str">
        <f>ASPA!D13</f>
        <v>The accomplishment of the model of lifelong professional development within the civil service. </v>
      </c>
      <c r="E131" s="560"/>
      <c r="F131" s="375">
        <f>ASPA!AU13</f>
        <v>27150</v>
      </c>
      <c r="G131" s="375">
        <f>ASPA!AV13</f>
        <v>0</v>
      </c>
      <c r="H131" s="375">
        <f>ASPA!AW13</f>
        <v>16180</v>
      </c>
      <c r="I131" s="375">
        <f>ASPA!AX13</f>
        <v>0</v>
      </c>
      <c r="J131" s="375">
        <f>ASPA!AY13</f>
        <v>0</v>
      </c>
      <c r="K131" s="375">
        <f>ASPA!AZ13</f>
        <v>0</v>
      </c>
      <c r="L131" s="439">
        <f>ASPA!BA13</f>
        <v>10970</v>
      </c>
    </row>
    <row r="132" spans="1:12" ht="43.5" customHeight="1">
      <c r="A132" s="890"/>
      <c r="B132" s="885"/>
      <c r="C132" s="407" t="s">
        <v>158</v>
      </c>
      <c r="D132" s="407" t="str">
        <f>ASPA!D15</f>
        <v>Compulsory training plans during the probation.</v>
      </c>
      <c r="E132" s="560"/>
      <c r="F132" s="375">
        <f>ASPA!AU15</f>
        <v>271840</v>
      </c>
      <c r="G132" s="375">
        <f>ASPA!AV15</f>
        <v>110266.40000000001</v>
      </c>
      <c r="H132" s="375">
        <f>ASPA!AW15</f>
        <v>123840</v>
      </c>
      <c r="I132" s="375">
        <f>ASPA!AX15</f>
        <v>0</v>
      </c>
      <c r="J132" s="375">
        <f>ASPA!AY15</f>
        <v>0</v>
      </c>
      <c r="K132" s="375">
        <f>ASPA!AZ15</f>
        <v>0</v>
      </c>
      <c r="L132" s="439">
        <f>ASPA!BA15</f>
        <v>37733.59999999998</v>
      </c>
    </row>
    <row r="133" spans="1:12" ht="51.75" customHeight="1">
      <c r="A133" s="890"/>
      <c r="B133" s="885"/>
      <c r="C133" s="407" t="s">
        <v>159</v>
      </c>
      <c r="D133" s="407" t="str">
        <f>ASPA!D18</f>
        <v>Drafting of annual plans for the training of the medium and top level managers - based on the model of leadership. </v>
      </c>
      <c r="E133" s="560"/>
      <c r="F133" s="375">
        <f>ASPA!AU18</f>
        <v>159079</v>
      </c>
      <c r="G133" s="375">
        <f>ASPA!AV18</f>
        <v>53291.465</v>
      </c>
      <c r="H133" s="375">
        <f>ASPA!AW18</f>
        <v>159079</v>
      </c>
      <c r="I133" s="375">
        <f>ASPA!AX18</f>
        <v>0</v>
      </c>
      <c r="J133" s="375">
        <f>ASPA!AY18</f>
        <v>0</v>
      </c>
      <c r="K133" s="375">
        <f>ASPA!AZ18</f>
        <v>0</v>
      </c>
      <c r="L133" s="440">
        <f>ASPA!BA18</f>
        <v>-53291.465</v>
      </c>
    </row>
    <row r="134" spans="1:12" ht="46.5" customHeight="1">
      <c r="A134" s="890"/>
      <c r="B134" s="885"/>
      <c r="C134" s="407" t="s">
        <v>160</v>
      </c>
      <c r="D134" s="407" t="str">
        <f>ASPA!D21</f>
        <v>Evaluation of alternative approaches with regard to the training of managers including also the competency-based approach. </v>
      </c>
      <c r="E134" s="560"/>
      <c r="F134" s="375">
        <f>ASPA!AU21</f>
        <v>6900</v>
      </c>
      <c r="G134" s="375">
        <f>ASPA!AV21</f>
        <v>2311.5</v>
      </c>
      <c r="H134" s="375">
        <f>ASPA!AW21</f>
        <v>0</v>
      </c>
      <c r="I134" s="375">
        <f>ASPA!AX21</f>
        <v>0</v>
      </c>
      <c r="J134" s="375">
        <f>ASPA!AY21</f>
        <v>0</v>
      </c>
      <c r="K134" s="375">
        <f>ASPA!AZ21</f>
        <v>0</v>
      </c>
      <c r="L134" s="439">
        <f>ASPA!BA21</f>
        <v>4588.5</v>
      </c>
    </row>
    <row r="135" spans="1:12" ht="51" customHeight="1" thickBot="1">
      <c r="A135" s="890"/>
      <c r="B135" s="886"/>
      <c r="C135" s="441" t="s">
        <v>161</v>
      </c>
      <c r="D135" s="441" t="str">
        <f>ASPA!D23</f>
        <v>Development of the e-learning and e - training platform and drafting of programs using this platform.</v>
      </c>
      <c r="E135" s="441"/>
      <c r="F135" s="442">
        <f>ASPA!AU23</f>
        <v>146000</v>
      </c>
      <c r="G135" s="442">
        <f>ASPA!AV23</f>
        <v>0</v>
      </c>
      <c r="H135" s="442">
        <f>ASPA!AW23</f>
        <v>146000</v>
      </c>
      <c r="I135" s="442">
        <f>ASPA!AX23</f>
        <v>0</v>
      </c>
      <c r="J135" s="442">
        <f>ASPA!AY23</f>
        <v>0</v>
      </c>
      <c r="K135" s="442">
        <f>ASPA!AZ23</f>
        <v>0</v>
      </c>
      <c r="L135" s="443">
        <f>ASPA!BA23</f>
        <v>0</v>
      </c>
    </row>
    <row r="136" spans="1:12" ht="52.5" customHeight="1">
      <c r="A136" s="887">
        <v>6.1</v>
      </c>
      <c r="B136" s="862" t="s">
        <v>631</v>
      </c>
      <c r="C136" s="410" t="s">
        <v>162</v>
      </c>
      <c r="D136" s="410" t="str">
        <f>ASPA!D26</f>
        <v>Establishment of groups, which receive the service (User Groups) and/or focus group in order to provide feedback on the quality and usefulness of services provided by the ASPA. </v>
      </c>
      <c r="E136" s="796" t="s">
        <v>287</v>
      </c>
      <c r="F136" s="435">
        <f>ASPA!AU26</f>
        <v>0</v>
      </c>
      <c r="G136" s="435">
        <f>ASPA!AV26</f>
        <v>0</v>
      </c>
      <c r="H136" s="435">
        <f>ASPA!AW26</f>
        <v>0</v>
      </c>
      <c r="I136" s="435">
        <f>ASPA!AX26</f>
        <v>0</v>
      </c>
      <c r="J136" s="435">
        <f>ASPA!AY26</f>
        <v>0</v>
      </c>
      <c r="K136" s="435">
        <f>ASPA!AZ26</f>
        <v>0</v>
      </c>
      <c r="L136" s="435">
        <f>ASPA!BA26</f>
        <v>0</v>
      </c>
    </row>
    <row r="137" spans="1:12" ht="56.25" customHeight="1">
      <c r="A137" s="888"/>
      <c r="B137" s="862"/>
      <c r="C137" s="407" t="s">
        <v>163</v>
      </c>
      <c r="D137" s="407" t="str">
        <f>ASPA!D29</f>
        <v>Improvement of the feedback system in general in order to provide sufficient data and available information  concerning training impact. </v>
      </c>
      <c r="E137" s="796" t="s">
        <v>287</v>
      </c>
      <c r="F137" s="382">
        <f>ASPA!AU29</f>
        <v>0</v>
      </c>
      <c r="G137" s="382">
        <f>ASPA!AV29</f>
        <v>0</v>
      </c>
      <c r="H137" s="382">
        <f>ASPA!AW29</f>
        <v>0</v>
      </c>
      <c r="I137" s="382">
        <f>ASPA!AX29</f>
        <v>0</v>
      </c>
      <c r="J137" s="382">
        <f>ASPA!AY29</f>
        <v>0</v>
      </c>
      <c r="K137" s="382">
        <f>ASPA!AZ29</f>
        <v>0</v>
      </c>
      <c r="L137" s="382">
        <f>ASPA!BA29</f>
        <v>0</v>
      </c>
    </row>
    <row r="138" spans="1:12" ht="46.5" customHeight="1">
      <c r="A138" s="888"/>
      <c r="B138" s="862"/>
      <c r="C138" s="407" t="s">
        <v>164</v>
      </c>
      <c r="D138" s="407" t="str">
        <f>ASPA!D33</f>
        <v>Establishment of contacts with professional agencies and quality control agencies for education/training.</v>
      </c>
      <c r="E138" s="560"/>
      <c r="F138" s="375">
        <f>ASPA!AU33</f>
        <v>18120</v>
      </c>
      <c r="G138" s="375">
        <f>ASPA!AV33</f>
        <v>12140.400000000001</v>
      </c>
      <c r="H138" s="375">
        <f>ASPA!AW33</f>
        <v>5980</v>
      </c>
      <c r="I138" s="375">
        <f>ASPA!AX33</f>
        <v>0</v>
      </c>
      <c r="J138" s="375">
        <f>ASPA!AY33</f>
        <v>0</v>
      </c>
      <c r="K138" s="375">
        <f>ASPA!AZ33</f>
        <v>0</v>
      </c>
      <c r="L138" s="375">
        <f>ASPA!BA33</f>
        <v>-0.4000000000005457</v>
      </c>
    </row>
    <row r="139" spans="1:12" ht="63" customHeight="1">
      <c r="A139" s="888"/>
      <c r="B139" s="862"/>
      <c r="C139" s="407" t="s">
        <v>165</v>
      </c>
      <c r="D139" s="407" t="str">
        <f>ASPA!D35</f>
        <v>Development of systems and procedures that meet quality control standards set by the control agencies of education/training</v>
      </c>
      <c r="E139" s="560"/>
      <c r="F139" s="375">
        <f>ASPA!AU35</f>
        <v>33000</v>
      </c>
      <c r="G139" s="375">
        <f>ASPA!AV35</f>
        <v>0</v>
      </c>
      <c r="H139" s="375">
        <f>ASPA!AW35</f>
        <v>33000</v>
      </c>
      <c r="I139" s="375">
        <f>ASPA!AX35</f>
        <v>0</v>
      </c>
      <c r="J139" s="375">
        <f>ASPA!AY35</f>
        <v>0</v>
      </c>
      <c r="K139" s="375">
        <f>ASPA!AZ35</f>
        <v>0</v>
      </c>
      <c r="L139" s="375">
        <f>ASPA!BA35</f>
        <v>0</v>
      </c>
    </row>
    <row r="140" spans="1:12" ht="49.5" customHeight="1">
      <c r="A140" s="888"/>
      <c r="B140" s="862"/>
      <c r="C140" s="407" t="s">
        <v>166</v>
      </c>
      <c r="D140" s="407" t="str">
        <f>ASPA!D37</f>
        <v>Work towards achieving the status of center of excellence at national and international level. </v>
      </c>
      <c r="E140" s="560"/>
      <c r="F140" s="375">
        <f>ASPA!AU37</f>
        <v>25000</v>
      </c>
      <c r="G140" s="375">
        <f>ASPA!AV37</f>
        <v>0</v>
      </c>
      <c r="H140" s="375">
        <f>ASPA!AW37</f>
        <v>25000</v>
      </c>
      <c r="I140" s="375">
        <f>ASPA!AX37</f>
        <v>0</v>
      </c>
      <c r="J140" s="375">
        <f>ASPA!AY37</f>
        <v>0</v>
      </c>
      <c r="K140" s="375">
        <f>ASPA!AZ37</f>
        <v>0</v>
      </c>
      <c r="L140" s="375">
        <f>ASPA!BA37</f>
        <v>0</v>
      </c>
    </row>
    <row r="141" spans="1:12" ht="45" customHeight="1">
      <c r="A141" s="888"/>
      <c r="B141" s="862"/>
      <c r="C141" s="407" t="s">
        <v>167</v>
      </c>
      <c r="D141" s="407" t="str">
        <f>ASPA!D39</f>
        <v>The development of such systems, which ensure that all resources are managed effectively and efficiently with minimal cost. </v>
      </c>
      <c r="E141" s="796" t="s">
        <v>287</v>
      </c>
      <c r="F141" s="375">
        <f>ASPA!AU39</f>
        <v>0</v>
      </c>
      <c r="G141" s="375">
        <f>ASPA!AV39</f>
        <v>0</v>
      </c>
      <c r="H141" s="375">
        <f>ASPA!AW39</f>
        <v>0</v>
      </c>
      <c r="I141" s="375">
        <f>ASPA!AX39</f>
        <v>0</v>
      </c>
      <c r="J141" s="375">
        <f>ASPA!AY39</f>
        <v>0</v>
      </c>
      <c r="K141" s="375">
        <f>ASPA!AZ39</f>
        <v>0</v>
      </c>
      <c r="L141" s="375">
        <f>ASPA!BA39</f>
        <v>0</v>
      </c>
    </row>
    <row r="142" spans="1:12" ht="33" customHeight="1">
      <c r="A142" s="888"/>
      <c r="B142" s="862"/>
      <c r="C142" s="407" t="s">
        <v>168</v>
      </c>
      <c r="D142" s="407" t="str">
        <f>ASPA!D41</f>
        <v>Development of a modern system for managing the database under the frame of HRMIS. </v>
      </c>
      <c r="E142" s="560"/>
      <c r="F142" s="375">
        <f>ASPA!AU41</f>
        <v>0</v>
      </c>
      <c r="G142" s="375">
        <f>ASPA!AV41</f>
        <v>0</v>
      </c>
      <c r="H142" s="375">
        <f>ASPA!AW41</f>
        <v>0</v>
      </c>
      <c r="I142" s="375">
        <f>ASPA!AX41</f>
        <v>0</v>
      </c>
      <c r="J142" s="375">
        <f>ASPA!AY41</f>
        <v>0</v>
      </c>
      <c r="K142" s="375">
        <f>ASPA!AZ41</f>
        <v>0</v>
      </c>
      <c r="L142" s="375">
        <f>ASPA!BA41</f>
        <v>0</v>
      </c>
    </row>
    <row r="143" spans="1:12" ht="40.5" customHeight="1">
      <c r="A143" s="888"/>
      <c r="B143" s="862"/>
      <c r="C143" s="407" t="s">
        <v>169</v>
      </c>
      <c r="D143" s="407" t="str">
        <f>ASPA!D42</f>
        <v>Development of the ASPA library and going towards the establishment of an information management center. </v>
      </c>
      <c r="E143" s="560"/>
      <c r="F143" s="375">
        <f>ASPA!AU42</f>
        <v>40500</v>
      </c>
      <c r="G143" s="375">
        <f>ASPA!AV42</f>
        <v>26100</v>
      </c>
      <c r="H143" s="375">
        <f>ASPA!AW42</f>
        <v>14400</v>
      </c>
      <c r="I143" s="375">
        <f>ASPA!AX42</f>
        <v>0</v>
      </c>
      <c r="J143" s="375">
        <f>ASPA!AY42</f>
        <v>0</v>
      </c>
      <c r="K143" s="375">
        <f>ASPA!AZ42</f>
        <v>0</v>
      </c>
      <c r="L143" s="375">
        <f>ASPA!BA42</f>
        <v>0</v>
      </c>
    </row>
    <row r="144" spans="1:12" ht="46.5" customHeight="1">
      <c r="A144" s="888"/>
      <c r="B144" s="862"/>
      <c r="C144" s="407" t="s">
        <v>170</v>
      </c>
      <c r="D144" s="407" t="str">
        <f>ASPA!D44</f>
        <v>Ensure that ASPA facilities  are in a building that is suitable for its purpose.</v>
      </c>
      <c r="E144" s="560"/>
      <c r="F144" s="375">
        <f>ASPA!AU44</f>
        <v>70000</v>
      </c>
      <c r="G144" s="375">
        <f>ASPA!AV44</f>
        <v>70000</v>
      </c>
      <c r="H144" s="375">
        <f>ASPA!AW44</f>
        <v>0</v>
      </c>
      <c r="I144" s="375">
        <f>ASPA!AX44</f>
        <v>0</v>
      </c>
      <c r="J144" s="375">
        <f>ASPA!AY44</f>
        <v>0</v>
      </c>
      <c r="K144" s="375">
        <f>ASPA!AZ44</f>
        <v>0</v>
      </c>
      <c r="L144" s="375">
        <f>ASPA!BA44</f>
        <v>0</v>
      </c>
    </row>
    <row r="145" spans="1:19" ht="15.75" customHeight="1">
      <c r="A145" s="384"/>
      <c r="B145" s="838" t="s">
        <v>632</v>
      </c>
      <c r="C145" s="839"/>
      <c r="D145" s="840"/>
      <c r="E145" s="565"/>
      <c r="F145" s="385">
        <f aca="true" t="shared" si="10" ref="F145:L145">SUM(F105:F144)</f>
        <v>3601931</v>
      </c>
      <c r="G145" s="385">
        <f t="shared" si="10"/>
        <v>567106.515</v>
      </c>
      <c r="H145" s="385">
        <f t="shared" si="10"/>
        <v>1372024.25</v>
      </c>
      <c r="I145" s="385">
        <f t="shared" si="10"/>
        <v>0</v>
      </c>
      <c r="J145" s="385">
        <f t="shared" si="10"/>
        <v>348000</v>
      </c>
      <c r="K145" s="385">
        <f t="shared" si="10"/>
        <v>0</v>
      </c>
      <c r="L145" s="385">
        <f t="shared" si="10"/>
        <v>1314800.235</v>
      </c>
      <c r="M145" s="489">
        <f>'Civil Service &amp; HRM'!AL37+ASPA!AM45+'Transparency &amp; Anti-corruption '!AL15</f>
        <v>3601931</v>
      </c>
      <c r="N145" s="489">
        <f>'Civil Service &amp; HRM'!AM37+ASPA!AN45+'Transparency &amp; Anti-corruption '!AM15</f>
        <v>567106.515</v>
      </c>
      <c r="O145" s="489">
        <f>'Civil Service &amp; HRM'!AN37+ASPA!AO45+'Transparency &amp; Anti-corruption '!AN15</f>
        <v>1372024.25</v>
      </c>
      <c r="P145" s="489">
        <f>'Civil Service &amp; HRM'!AO37+ASPA!AP45+'Transparency &amp; Anti-corruption '!AO15</f>
        <v>0</v>
      </c>
      <c r="Q145" s="489">
        <f>'Civil Service &amp; HRM'!AP37+ASPA!AQ45+'Transparency &amp; Anti-corruption '!AP15</f>
        <v>348000</v>
      </c>
      <c r="R145" s="489">
        <f>'Civil Service &amp; HRM'!AQ37+ASPA!AR45+'Transparency &amp; Anti-corruption '!AQ15</f>
        <v>0</v>
      </c>
      <c r="S145" s="489">
        <f>'Civil Service &amp; HRM'!AR37+ASPA!AS45+'Transparency &amp; Anti-corruption '!AR15</f>
        <v>1314800.2349999999</v>
      </c>
    </row>
    <row r="146" spans="1:19" ht="39.75" customHeight="1">
      <c r="A146" s="389">
        <v>7</v>
      </c>
      <c r="B146" s="850" t="s">
        <v>633</v>
      </c>
      <c r="C146" s="851"/>
      <c r="D146" s="851"/>
      <c r="E146" s="851"/>
      <c r="F146" s="851"/>
      <c r="G146" s="851"/>
      <c r="H146" s="851"/>
      <c r="I146" s="851"/>
      <c r="J146" s="851"/>
      <c r="K146" s="851"/>
      <c r="L146" s="852"/>
      <c r="M146" s="488">
        <f>F145-M145</f>
        <v>0</v>
      </c>
      <c r="N146" s="488">
        <f aca="true" t="shared" si="11" ref="N146:S146">G145-N145</f>
        <v>0</v>
      </c>
      <c r="O146" s="488">
        <f t="shared" si="11"/>
        <v>0</v>
      </c>
      <c r="P146" s="488">
        <f t="shared" si="11"/>
        <v>0</v>
      </c>
      <c r="Q146" s="488">
        <f t="shared" si="11"/>
        <v>0</v>
      </c>
      <c r="R146" s="488">
        <f t="shared" si="11"/>
        <v>0</v>
      </c>
      <c r="S146" s="488">
        <f t="shared" si="11"/>
        <v>0</v>
      </c>
    </row>
    <row r="147" spans="1:12" ht="35.25" customHeight="1">
      <c r="A147" s="836">
        <v>7.1</v>
      </c>
      <c r="B147" s="843" t="s">
        <v>634</v>
      </c>
      <c r="C147" s="407" t="s">
        <v>184</v>
      </c>
      <c r="D147" s="407" t="str">
        <f>'Civil Service &amp; HRM'!E39</f>
        <v>Evaluation study of the wage system</v>
      </c>
      <c r="E147" s="560"/>
      <c r="F147" s="375">
        <f>'Civil Service &amp; HRM'!AL39</f>
        <v>480000</v>
      </c>
      <c r="G147" s="375">
        <f>'Civil Service &amp; HRM'!AM39</f>
        <v>50000</v>
      </c>
      <c r="H147" s="375">
        <f>'Civil Service &amp; HRM'!AN39</f>
        <v>0</v>
      </c>
      <c r="I147" s="375">
        <f>'Civil Service &amp; HRM'!AO39</f>
        <v>0</v>
      </c>
      <c r="J147" s="375">
        <f>'Civil Service &amp; HRM'!AP39</f>
        <v>0</v>
      </c>
      <c r="K147" s="375">
        <f>'Civil Service &amp; HRM'!AQ39</f>
        <v>0</v>
      </c>
      <c r="L147" s="375">
        <f>'Civil Service &amp; HRM'!AR39</f>
        <v>430000</v>
      </c>
    </row>
    <row r="148" spans="1:12" ht="36.75" customHeight="1">
      <c r="A148" s="836"/>
      <c r="B148" s="843"/>
      <c r="C148" s="407" t="s">
        <v>185</v>
      </c>
      <c r="D148" s="407" t="str">
        <f>'Civil Service &amp; HRM'!E40</f>
        <v>Strategy draft drawn up. </v>
      </c>
      <c r="E148" s="560"/>
      <c r="F148" s="375">
        <f>'Civil Service &amp; HRM'!AL40</f>
        <v>325000</v>
      </c>
      <c r="G148" s="375">
        <f>'Civil Service &amp; HRM'!AM40</f>
        <v>30000</v>
      </c>
      <c r="H148" s="375">
        <f>'Civil Service &amp; HRM'!AN40</f>
        <v>0</v>
      </c>
      <c r="I148" s="375">
        <f>'Civil Service &amp; HRM'!AO40</f>
        <v>0</v>
      </c>
      <c r="J148" s="375">
        <f>'Civil Service &amp; HRM'!AP40</f>
        <v>0</v>
      </c>
      <c r="K148" s="375">
        <f>'Civil Service &amp; HRM'!AQ40</f>
        <v>0</v>
      </c>
      <c r="L148" s="375">
        <f>'Civil Service &amp; HRM'!AR40</f>
        <v>295000</v>
      </c>
    </row>
    <row r="149" spans="1:12" ht="66" customHeight="1">
      <c r="A149" s="377">
        <v>7.2</v>
      </c>
      <c r="B149" s="796" t="s">
        <v>635</v>
      </c>
      <c r="C149" s="407" t="s">
        <v>186</v>
      </c>
      <c r="D149" s="407" t="str">
        <f>'Civil Service &amp; HRM'!E41</f>
        <v>New wage structure adopted. </v>
      </c>
      <c r="E149" s="796" t="s">
        <v>636</v>
      </c>
      <c r="F149" s="375">
        <f>'Civil Service &amp; HRM'!AL41</f>
        <v>0</v>
      </c>
      <c r="G149" s="375">
        <f>'Civil Service &amp; HRM'!AM41</f>
        <v>0</v>
      </c>
      <c r="H149" s="375">
        <f>'Civil Service &amp; HRM'!AN41</f>
        <v>0</v>
      </c>
      <c r="I149" s="375">
        <f>'Civil Service &amp; HRM'!AO41</f>
        <v>0</v>
      </c>
      <c r="J149" s="375">
        <f>'Civil Service &amp; HRM'!AP41</f>
        <v>0</v>
      </c>
      <c r="K149" s="375">
        <f>'Civil Service &amp; HRM'!AQ41</f>
        <v>0</v>
      </c>
      <c r="L149" s="375">
        <f>'Civil Service &amp; HRM'!AR41</f>
        <v>0</v>
      </c>
    </row>
    <row r="150" spans="1:12" ht="102">
      <c r="A150" s="377">
        <v>7.3</v>
      </c>
      <c r="B150" s="796" t="s">
        <v>637</v>
      </c>
      <c r="C150" s="407" t="s">
        <v>187</v>
      </c>
      <c r="D150" s="407" t="str">
        <f>'Civil Service &amp; HRM'!E42</f>
        <v>New classification of wages and amendment of the law on wage ratios.</v>
      </c>
      <c r="E150" s="560"/>
      <c r="F150" s="375">
        <f>'Civil Service &amp; HRM'!AL42</f>
        <v>5000</v>
      </c>
      <c r="G150" s="375">
        <f>'Civil Service &amp; HRM'!AM42</f>
        <v>5000</v>
      </c>
      <c r="H150" s="375">
        <f>'Civil Service &amp; HRM'!AN42</f>
        <v>0</v>
      </c>
      <c r="I150" s="375">
        <f>'Civil Service &amp; HRM'!AO42</f>
        <v>0</v>
      </c>
      <c r="J150" s="375">
        <f>'Civil Service &amp; HRM'!AP42</f>
        <v>0</v>
      </c>
      <c r="K150" s="375">
        <f>'Civil Service &amp; HRM'!AQ42</f>
        <v>0</v>
      </c>
      <c r="L150" s="375">
        <f>'Civil Service &amp; HRM'!AR42</f>
        <v>0</v>
      </c>
    </row>
    <row r="151" spans="1:19" ht="15.75" customHeight="1">
      <c r="A151" s="384"/>
      <c r="B151" s="838" t="s">
        <v>638</v>
      </c>
      <c r="C151" s="839"/>
      <c r="D151" s="840"/>
      <c r="E151" s="565"/>
      <c r="F151" s="385">
        <f>SUM(F147:F150)</f>
        <v>810000</v>
      </c>
      <c r="G151" s="385">
        <f aca="true" t="shared" si="12" ref="G151:L151">SUM(G147:G150)</f>
        <v>85000</v>
      </c>
      <c r="H151" s="385">
        <f t="shared" si="12"/>
        <v>0</v>
      </c>
      <c r="I151" s="385">
        <f t="shared" si="12"/>
        <v>0</v>
      </c>
      <c r="J151" s="385">
        <f t="shared" si="12"/>
        <v>0</v>
      </c>
      <c r="K151" s="385">
        <f t="shared" si="12"/>
        <v>0</v>
      </c>
      <c r="L151" s="385">
        <f t="shared" si="12"/>
        <v>725000</v>
      </c>
      <c r="M151" s="489">
        <f>'Civil Service &amp; HRM'!AL43</f>
        <v>810000</v>
      </c>
      <c r="N151" s="489">
        <f>'Civil Service &amp; HRM'!AM43</f>
        <v>85000</v>
      </c>
      <c r="O151" s="489">
        <f>'Civil Service &amp; HRM'!AN43</f>
        <v>0</v>
      </c>
      <c r="P151" s="489">
        <f>'Civil Service &amp; HRM'!AO43</f>
        <v>0</v>
      </c>
      <c r="Q151" s="489">
        <f>'Civil Service &amp; HRM'!AP43</f>
        <v>0</v>
      </c>
      <c r="R151" s="489">
        <f>'Civil Service &amp; HRM'!AQ43</f>
        <v>0</v>
      </c>
      <c r="S151" s="489">
        <f>'Civil Service &amp; HRM'!AR43</f>
        <v>725000</v>
      </c>
    </row>
    <row r="152" spans="1:19" ht="27" customHeight="1">
      <c r="A152" s="389">
        <v>8</v>
      </c>
      <c r="B152" s="844" t="s">
        <v>519</v>
      </c>
      <c r="C152" s="845"/>
      <c r="D152" s="845"/>
      <c r="E152" s="845"/>
      <c r="F152" s="845"/>
      <c r="G152" s="845"/>
      <c r="H152" s="845"/>
      <c r="I152" s="845"/>
      <c r="J152" s="845"/>
      <c r="K152" s="845"/>
      <c r="L152" s="846"/>
      <c r="M152" s="488">
        <f>F151-M151</f>
        <v>0</v>
      </c>
      <c r="N152" s="488">
        <f aca="true" t="shared" si="13" ref="N152:S152">G151-N151</f>
        <v>0</v>
      </c>
      <c r="O152" s="488">
        <f t="shared" si="13"/>
        <v>0</v>
      </c>
      <c r="P152" s="488">
        <f t="shared" si="13"/>
        <v>0</v>
      </c>
      <c r="Q152" s="488">
        <f t="shared" si="13"/>
        <v>0</v>
      </c>
      <c r="R152" s="488">
        <f t="shared" si="13"/>
        <v>0</v>
      </c>
      <c r="S152" s="488">
        <f t="shared" si="13"/>
        <v>0</v>
      </c>
    </row>
    <row r="153" spans="1:12" ht="41.25" customHeight="1">
      <c r="A153" s="836">
        <v>8.1</v>
      </c>
      <c r="B153" s="843" t="s">
        <v>639</v>
      </c>
      <c r="C153" s="407" t="s">
        <v>134</v>
      </c>
      <c r="D153" s="407" t="str">
        <f>Innovation!E16</f>
        <v>Re-engineering of public services - Identification, Assessment and Defining of Standard Procedures for 300+ public services</v>
      </c>
      <c r="E153" s="560"/>
      <c r="F153" s="375">
        <f>Innovation!AM16</f>
        <v>5825000</v>
      </c>
      <c r="G153" s="375">
        <f>Innovation!AN16</f>
        <v>1510422.4999999998</v>
      </c>
      <c r="H153" s="375">
        <f>Innovation!AO16</f>
        <v>0</v>
      </c>
      <c r="I153" s="375">
        <f>Innovation!AP16</f>
        <v>0</v>
      </c>
      <c r="J153" s="375">
        <f>Innovation!AQ16</f>
        <v>0</v>
      </c>
      <c r="K153" s="375">
        <f>Innovation!AR16</f>
        <v>0</v>
      </c>
      <c r="L153" s="375">
        <f>Innovation!AS16</f>
        <v>4314577.5</v>
      </c>
    </row>
    <row r="154" spans="1:12" ht="49.5" customHeight="1">
      <c r="A154" s="836"/>
      <c r="B154" s="843"/>
      <c r="C154" s="407" t="s">
        <v>135</v>
      </c>
      <c r="D154" s="407" t="str">
        <f>Innovation!E17</f>
        <v>Manuals for the regulation of service procedures are drafted;</v>
      </c>
      <c r="E154" s="560"/>
      <c r="F154" s="375">
        <f>Innovation!AM17</f>
        <v>437500</v>
      </c>
      <c r="G154" s="375">
        <f>Innovation!AN17</f>
        <v>113443.74999999999</v>
      </c>
      <c r="H154" s="375">
        <f>Innovation!AO17</f>
        <v>0</v>
      </c>
      <c r="I154" s="375">
        <f>Innovation!AP17</f>
        <v>0</v>
      </c>
      <c r="J154" s="375">
        <f>Innovation!AQ17</f>
        <v>0</v>
      </c>
      <c r="K154" s="375">
        <f>Innovation!AR17</f>
        <v>0</v>
      </c>
      <c r="L154" s="375">
        <f>Innovation!AS17</f>
        <v>324056.25</v>
      </c>
    </row>
    <row r="155" spans="1:12" ht="84" customHeight="1">
      <c r="A155" s="377">
        <v>8.2</v>
      </c>
      <c r="B155" s="796" t="s">
        <v>523</v>
      </c>
      <c r="C155" s="407" t="s">
        <v>136</v>
      </c>
      <c r="D155" s="407" t="str">
        <f>Innovation!E18</f>
        <v>Feasibility Study for the model of citizen-centered services.</v>
      </c>
      <c r="E155" s="560"/>
      <c r="F155" s="375">
        <f>Innovation!AM18</f>
        <v>1350000</v>
      </c>
      <c r="G155" s="375">
        <f>Innovation!AN18</f>
        <v>350000</v>
      </c>
      <c r="H155" s="375">
        <f>Innovation!AO18</f>
        <v>0</v>
      </c>
      <c r="I155" s="375">
        <f>Innovation!AP18</f>
        <v>0</v>
      </c>
      <c r="J155" s="375">
        <f>Innovation!AQ18</f>
        <v>1000000</v>
      </c>
      <c r="K155" s="375">
        <f>Innovation!AR18</f>
        <v>0</v>
      </c>
      <c r="L155" s="375">
        <f>Innovation!AS18</f>
        <v>0</v>
      </c>
    </row>
    <row r="156" spans="1:12" ht="57" customHeight="1">
      <c r="A156" s="377">
        <v>8.3</v>
      </c>
      <c r="B156" s="796" t="s">
        <v>526</v>
      </c>
      <c r="C156" s="407" t="s">
        <v>137</v>
      </c>
      <c r="D156" s="407" t="str">
        <f>Innovation!E19</f>
        <v>Conducting of the Study for Re-organization of the Public Institutions.</v>
      </c>
      <c r="E156" s="560"/>
      <c r="F156" s="375">
        <f>Innovation!AM19</f>
        <v>1206250</v>
      </c>
      <c r="G156" s="375">
        <f>Innovation!AN19</f>
        <v>312780.62499999994</v>
      </c>
      <c r="H156" s="375">
        <f>Innovation!AO19</f>
        <v>25992</v>
      </c>
      <c r="I156" s="375">
        <f>Innovation!AP19</f>
        <v>0</v>
      </c>
      <c r="J156" s="375">
        <f>Innovation!AQ19</f>
        <v>0</v>
      </c>
      <c r="K156" s="375">
        <f>Innovation!AR19</f>
        <v>0</v>
      </c>
      <c r="L156" s="375">
        <f>Innovation!AS19</f>
        <v>867477.375</v>
      </c>
    </row>
    <row r="157" spans="1:12" ht="25.5">
      <c r="A157" s="836">
        <v>8.4</v>
      </c>
      <c r="B157" s="843" t="s">
        <v>640</v>
      </c>
      <c r="C157" s="407" t="s">
        <v>188</v>
      </c>
      <c r="D157" s="407" t="str">
        <f>Innovation!E20</f>
        <v>Completion of the Study for consolidation of the initial situation analysis (baseline).</v>
      </c>
      <c r="E157" s="560"/>
      <c r="F157" s="375">
        <f>Innovation!AM20</f>
        <v>241152</v>
      </c>
      <c r="G157" s="375">
        <f>Innovation!AN20</f>
        <v>35714.6112</v>
      </c>
      <c r="H157" s="375">
        <f>Innovation!AO20</f>
        <v>0</v>
      </c>
      <c r="I157" s="375">
        <f>Innovation!AP20</f>
        <v>0</v>
      </c>
      <c r="J157" s="375">
        <f>Innovation!AQ20</f>
        <v>0</v>
      </c>
      <c r="K157" s="375">
        <f>Innovation!AR20</f>
        <v>0</v>
      </c>
      <c r="L157" s="375">
        <f>Innovation!AS20</f>
        <v>205437.38880000002</v>
      </c>
    </row>
    <row r="158" spans="1:12" ht="59.25" customHeight="1">
      <c r="A158" s="836"/>
      <c r="B158" s="843"/>
      <c r="C158" s="407" t="s">
        <v>189</v>
      </c>
      <c r="D158" s="407" t="str">
        <f>Innovation!E21</f>
        <v>Identification of the macro areas that require changes (Legal Gap Analyses).</v>
      </c>
      <c r="E158" s="560"/>
      <c r="F158" s="375">
        <f>Innovation!AM21</f>
        <v>583750</v>
      </c>
      <c r="G158" s="375">
        <f>Innovation!AN21</f>
        <v>0</v>
      </c>
      <c r="H158" s="375">
        <f>Innovation!AO21</f>
        <v>0</v>
      </c>
      <c r="I158" s="375">
        <f>Innovation!AP21</f>
        <v>0</v>
      </c>
      <c r="J158" s="375">
        <f>Innovation!AQ21</f>
        <v>583750</v>
      </c>
      <c r="K158" s="375">
        <f>Innovation!AR21</f>
        <v>0</v>
      </c>
      <c r="L158" s="375">
        <f>Innovation!AS21</f>
        <v>0</v>
      </c>
    </row>
    <row r="159" spans="1:12" ht="67.5" customHeight="1">
      <c r="A159" s="377">
        <v>8.5</v>
      </c>
      <c r="B159" s="796" t="s">
        <v>530</v>
      </c>
      <c r="C159" s="407" t="s">
        <v>190</v>
      </c>
      <c r="D159" s="407" t="str">
        <f>Innovation!E22</f>
        <v>Unified and codified service forms  (300 unified services fully codified by 2015, all services in 2017).</v>
      </c>
      <c r="E159" s="560"/>
      <c r="F159" s="375">
        <f>Innovation!AM22</f>
        <v>150000</v>
      </c>
      <c r="G159" s="375">
        <f>Innovation!AN22</f>
        <v>0</v>
      </c>
      <c r="H159" s="375">
        <f>Innovation!AO22</f>
        <v>150000</v>
      </c>
      <c r="I159" s="375">
        <f>Innovation!AP22</f>
        <v>0</v>
      </c>
      <c r="J159" s="375">
        <f>Innovation!AQ22</f>
        <v>0</v>
      </c>
      <c r="K159" s="375">
        <f>Innovation!AR22</f>
        <v>0</v>
      </c>
      <c r="L159" s="375">
        <f>Innovation!AS22</f>
        <v>0</v>
      </c>
    </row>
    <row r="160" spans="1:12" ht="15.75" customHeight="1">
      <c r="A160" s="836">
        <v>8.6</v>
      </c>
      <c r="B160" s="843" t="s">
        <v>534</v>
      </c>
      <c r="C160" s="407" t="s">
        <v>191</v>
      </c>
      <c r="D160" s="407" t="str">
        <f>Innovation!E23</f>
        <v>Proposals for  Legal/Administrative changes.</v>
      </c>
      <c r="E160" s="560"/>
      <c r="F160" s="375">
        <f>Innovation!AM23</f>
        <v>1096250</v>
      </c>
      <c r="G160" s="375">
        <f>Innovation!AN23</f>
        <v>0</v>
      </c>
      <c r="H160" s="375">
        <f>Innovation!AO23</f>
        <v>1096250</v>
      </c>
      <c r="I160" s="375">
        <f>Innovation!AP23</f>
        <v>0</v>
      </c>
      <c r="J160" s="375">
        <f>Innovation!AQ23</f>
        <v>0</v>
      </c>
      <c r="K160" s="375">
        <f>Innovation!AR23</f>
        <v>0</v>
      </c>
      <c r="L160" s="375">
        <f>Innovation!AS23</f>
        <v>0</v>
      </c>
    </row>
    <row r="161" spans="1:12" ht="22.5" customHeight="1">
      <c r="A161" s="836"/>
      <c r="B161" s="843"/>
      <c r="C161" s="407" t="s">
        <v>192</v>
      </c>
      <c r="D161" s="407" t="str">
        <f>Innovation!E24</f>
        <v>Approval of amendments to the legal framework</v>
      </c>
      <c r="E161" s="560"/>
      <c r="F161" s="375">
        <f>Innovation!AM24</f>
        <v>0</v>
      </c>
      <c r="G161" s="375">
        <f>Innovation!AN24</f>
        <v>0</v>
      </c>
      <c r="H161" s="375">
        <f>Innovation!AO24</f>
        <v>0</v>
      </c>
      <c r="I161" s="375">
        <f>Innovation!AP24</f>
        <v>0</v>
      </c>
      <c r="J161" s="375">
        <f>Innovation!AQ24</f>
        <v>0</v>
      </c>
      <c r="K161" s="375">
        <f>Innovation!AR24</f>
        <v>0</v>
      </c>
      <c r="L161" s="375">
        <f>Innovation!AS24</f>
        <v>0</v>
      </c>
    </row>
    <row r="162" spans="1:12" ht="30.75" customHeight="1">
      <c r="A162" s="836"/>
      <c r="B162" s="843"/>
      <c r="C162" s="407" t="s">
        <v>193</v>
      </c>
      <c r="D162" s="407" t="str">
        <f>Innovation!E25</f>
        <v>Institutional/administrative changes completed.</v>
      </c>
      <c r="E162" s="560"/>
      <c r="F162" s="375">
        <f>Innovation!AM25</f>
        <v>0</v>
      </c>
      <c r="G162" s="375">
        <f>Innovation!AN25</f>
        <v>0</v>
      </c>
      <c r="H162" s="375">
        <f>Innovation!AO25</f>
        <v>0</v>
      </c>
      <c r="I162" s="375">
        <f>Innovation!AP25</f>
        <v>0</v>
      </c>
      <c r="J162" s="375">
        <f>Innovation!AQ25</f>
        <v>0</v>
      </c>
      <c r="K162" s="375">
        <f>Innovation!AR25</f>
        <v>0</v>
      </c>
      <c r="L162" s="375">
        <f>Innovation!AS25</f>
        <v>0</v>
      </c>
    </row>
    <row r="163" spans="1:12" ht="24" customHeight="1">
      <c r="A163" s="836">
        <v>8.7</v>
      </c>
      <c r="B163" s="843" t="s">
        <v>641</v>
      </c>
      <c r="C163" s="407" t="s">
        <v>194</v>
      </c>
      <c r="D163" s="407" t="str">
        <f>Innovation!E26</f>
        <v>Drafting of training programs.</v>
      </c>
      <c r="E163" s="560"/>
      <c r="F163" s="375">
        <f>Innovation!AM26</f>
        <v>6000</v>
      </c>
      <c r="G163" s="375">
        <f>Innovation!AN26</f>
        <v>0</v>
      </c>
      <c r="H163" s="375">
        <f>Innovation!AO26</f>
        <v>0</v>
      </c>
      <c r="I163" s="375">
        <f>Innovation!AP26</f>
        <v>0</v>
      </c>
      <c r="J163" s="375">
        <f>Innovation!AQ26</f>
        <v>0</v>
      </c>
      <c r="K163" s="375">
        <f>Innovation!AR26</f>
        <v>0</v>
      </c>
      <c r="L163" s="375">
        <f>Innovation!AS26</f>
        <v>6000</v>
      </c>
    </row>
    <row r="164" spans="1:12" ht="51" customHeight="1">
      <c r="A164" s="836"/>
      <c r="B164" s="843"/>
      <c r="C164" s="407" t="s">
        <v>195</v>
      </c>
      <c r="D164" s="407" t="str">
        <f>Innovation!E27</f>
        <v> General training courses  (2017)</v>
      </c>
      <c r="E164" s="560"/>
      <c r="F164" s="375">
        <f>Innovation!AM27</f>
        <v>74175</v>
      </c>
      <c r="G164" s="375">
        <f>Innovation!AN27</f>
        <v>0</v>
      </c>
      <c r="H164" s="375">
        <f>Innovation!AO27</f>
        <v>0</v>
      </c>
      <c r="I164" s="375">
        <f>Innovation!AP27</f>
        <v>0</v>
      </c>
      <c r="J164" s="375">
        <f>Innovation!AQ27</f>
        <v>0</v>
      </c>
      <c r="K164" s="375">
        <f>Innovation!AR27</f>
        <v>0</v>
      </c>
      <c r="L164" s="375">
        <f>Innovation!AS27</f>
        <v>74175</v>
      </c>
    </row>
    <row r="165" spans="1:19" ht="15.75" customHeight="1">
      <c r="A165" s="384"/>
      <c r="B165" s="838" t="s">
        <v>642</v>
      </c>
      <c r="C165" s="839"/>
      <c r="D165" s="840"/>
      <c r="E165" s="565"/>
      <c r="F165" s="385">
        <f>SUM(F153:F164)</f>
        <v>10970077</v>
      </c>
      <c r="G165" s="385">
        <f aca="true" t="shared" si="14" ref="G165:L165">SUM(G153:G164)</f>
        <v>2322361.4861999997</v>
      </c>
      <c r="H165" s="385">
        <f t="shared" si="14"/>
        <v>1272242</v>
      </c>
      <c r="I165" s="385">
        <f t="shared" si="14"/>
        <v>0</v>
      </c>
      <c r="J165" s="385">
        <f t="shared" si="14"/>
        <v>1583750</v>
      </c>
      <c r="K165" s="385">
        <f t="shared" si="14"/>
        <v>0</v>
      </c>
      <c r="L165" s="385">
        <f t="shared" si="14"/>
        <v>5791723.5138</v>
      </c>
      <c r="M165" s="489">
        <f>Innovation!AM28</f>
        <v>10970077</v>
      </c>
      <c r="N165" s="489">
        <f>Innovation!AN28</f>
        <v>2322361.4861999997</v>
      </c>
      <c r="O165" s="489">
        <f>Innovation!AO28</f>
        <v>1272242</v>
      </c>
      <c r="P165" s="489">
        <f>Innovation!AP28</f>
        <v>0</v>
      </c>
      <c r="Q165" s="489">
        <f>Innovation!AQ28</f>
        <v>1583750</v>
      </c>
      <c r="R165" s="489">
        <f>Innovation!AR28</f>
        <v>0</v>
      </c>
      <c r="S165" s="489">
        <f>Innovation!AS28</f>
        <v>5791723.5138</v>
      </c>
    </row>
    <row r="166" spans="1:19" ht="42.75" customHeight="1">
      <c r="A166" s="389">
        <v>9</v>
      </c>
      <c r="B166" s="900" t="s">
        <v>540</v>
      </c>
      <c r="C166" s="901"/>
      <c r="D166" s="901"/>
      <c r="E166" s="901"/>
      <c r="F166" s="901"/>
      <c r="G166" s="901"/>
      <c r="H166" s="901"/>
      <c r="I166" s="901"/>
      <c r="J166" s="901"/>
      <c r="K166" s="901"/>
      <c r="L166" s="902"/>
      <c r="M166" s="488">
        <f aca="true" t="shared" si="15" ref="M166:S166">F165-M165</f>
        <v>0</v>
      </c>
      <c r="N166" s="488">
        <f t="shared" si="15"/>
        <v>0</v>
      </c>
      <c r="O166" s="488">
        <f t="shared" si="15"/>
        <v>0</v>
      </c>
      <c r="P166" s="488">
        <f t="shared" si="15"/>
        <v>0</v>
      </c>
      <c r="Q166" s="488">
        <f t="shared" si="15"/>
        <v>0</v>
      </c>
      <c r="R166" s="488">
        <f t="shared" si="15"/>
        <v>0</v>
      </c>
      <c r="S166" s="488">
        <f t="shared" si="15"/>
        <v>0</v>
      </c>
    </row>
    <row r="167" spans="1:12" ht="47.25" customHeight="1">
      <c r="A167" s="377">
        <v>9.1</v>
      </c>
      <c r="B167" s="796" t="s">
        <v>643</v>
      </c>
      <c r="C167" s="407" t="s">
        <v>138</v>
      </c>
      <c r="D167" s="407" t="str">
        <f>Innovation!E30</f>
        <v>Study on the analysis of the situation of the main registers condition</v>
      </c>
      <c r="E167" s="560"/>
      <c r="F167" s="375">
        <f>Innovation!AM30</f>
        <v>200000</v>
      </c>
      <c r="G167" s="375">
        <f>Innovation!AN30</f>
        <v>0</v>
      </c>
      <c r="H167" s="375">
        <f>Innovation!AO30</f>
        <v>0</v>
      </c>
      <c r="I167" s="375">
        <f>Innovation!AP30</f>
        <v>0</v>
      </c>
      <c r="J167" s="375">
        <f>Innovation!AQ30</f>
        <v>0</v>
      </c>
      <c r="K167" s="375">
        <f>Innovation!AR30</f>
        <v>0</v>
      </c>
      <c r="L167" s="375">
        <f>Innovation!AS30</f>
        <v>200000</v>
      </c>
    </row>
    <row r="168" spans="1:12" ht="38.25">
      <c r="A168" s="836">
        <v>9.2</v>
      </c>
      <c r="B168" s="843" t="s">
        <v>644</v>
      </c>
      <c r="C168" s="407" t="s">
        <v>139</v>
      </c>
      <c r="D168" s="407" t="str">
        <f>Innovation!E31</f>
        <v>Drafting of an integrated ICT system (based on the requirements of the services re-engineering process);</v>
      </c>
      <c r="E168" s="560"/>
      <c r="F168" s="375">
        <f>Innovation!AM31</f>
        <v>1350000</v>
      </c>
      <c r="G168" s="375">
        <f>Innovation!AN31</f>
        <v>350000</v>
      </c>
      <c r="H168" s="375">
        <f>Innovation!AO31</f>
        <v>0</v>
      </c>
      <c r="I168" s="375">
        <f>Innovation!AP31</f>
        <v>0</v>
      </c>
      <c r="J168" s="375">
        <f>Innovation!AQ31</f>
        <v>0</v>
      </c>
      <c r="K168" s="375">
        <f>Innovation!AR31</f>
        <v>0</v>
      </c>
      <c r="L168" s="375">
        <f>Innovation!AS31</f>
        <v>1000000</v>
      </c>
    </row>
    <row r="169" spans="1:12" ht="25.5">
      <c r="A169" s="836"/>
      <c r="B169" s="843"/>
      <c r="C169" s="407" t="s">
        <v>140</v>
      </c>
      <c r="D169" s="407" t="str">
        <f>Innovation!E32</f>
        <v>Development and consolidation of the system; Documents for users training; </v>
      </c>
      <c r="E169" s="560"/>
      <c r="F169" s="375">
        <f>Innovation!AM32</f>
        <v>11821000</v>
      </c>
      <c r="G169" s="375">
        <f>Innovation!AN32</f>
        <v>1550000</v>
      </c>
      <c r="H169" s="375">
        <f>Innovation!AO32</f>
        <v>0</v>
      </c>
      <c r="I169" s="375">
        <f>Innovation!AP32</f>
        <v>0</v>
      </c>
      <c r="J169" s="375">
        <f>Innovation!AQ32</f>
        <v>0</v>
      </c>
      <c r="K169" s="375">
        <f>Innovation!AR32</f>
        <v>0</v>
      </c>
      <c r="L169" s="375">
        <f>Innovation!AS32</f>
        <v>10271000</v>
      </c>
    </row>
    <row r="170" spans="1:12" ht="39" customHeight="1">
      <c r="A170" s="836"/>
      <c r="B170" s="843"/>
      <c r="C170" s="407" t="s">
        <v>141</v>
      </c>
      <c r="D170" s="407" t="str">
        <f>Innovation!E33</f>
        <v>Training courses for ICTand systems users (2017)</v>
      </c>
      <c r="E170" s="560"/>
      <c r="F170" s="375">
        <f>Innovation!AM33</f>
        <v>126081</v>
      </c>
      <c r="G170" s="375">
        <f>Innovation!AN33</f>
        <v>74175</v>
      </c>
      <c r="H170" s="375">
        <f>Innovation!AO33</f>
        <v>0</v>
      </c>
      <c r="I170" s="375">
        <f>Innovation!AP33</f>
        <v>0</v>
      </c>
      <c r="J170" s="375">
        <f>Innovation!AQ33</f>
        <v>51906</v>
      </c>
      <c r="K170" s="375">
        <f>Innovation!AR33</f>
        <v>0</v>
      </c>
      <c r="L170" s="375">
        <f>Innovation!AS33</f>
        <v>0</v>
      </c>
    </row>
    <row r="171" spans="1:12" ht="96" customHeight="1">
      <c r="A171" s="377">
        <v>9.3</v>
      </c>
      <c r="B171" s="796" t="s">
        <v>645</v>
      </c>
      <c r="C171" s="407" t="s">
        <v>142</v>
      </c>
      <c r="D171" s="407" t="str">
        <f>Innovation!E34</f>
        <v>Development of a system, which reports the reactions of citizens and tracks complaints for all categories of services provided by the government.  </v>
      </c>
      <c r="E171" s="560"/>
      <c r="F171" s="375">
        <f>Innovation!AM34</f>
        <v>211000</v>
      </c>
      <c r="G171" s="375">
        <f>Innovation!AN34</f>
        <v>0</v>
      </c>
      <c r="H171" s="375">
        <f>Innovation!AO34</f>
        <v>0</v>
      </c>
      <c r="I171" s="375">
        <f>Innovation!AP34</f>
        <v>0</v>
      </c>
      <c r="J171" s="375">
        <f>Innovation!AQ34</f>
        <v>211000</v>
      </c>
      <c r="K171" s="375">
        <f>Innovation!AR34</f>
        <v>0</v>
      </c>
      <c r="L171" s="375">
        <f>Innovation!AS34</f>
        <v>0</v>
      </c>
    </row>
    <row r="172" spans="1:20" s="156" customFormat="1" ht="15.75" customHeight="1">
      <c r="A172" s="390"/>
      <c r="B172" s="891" t="s">
        <v>646</v>
      </c>
      <c r="C172" s="892"/>
      <c r="D172" s="893"/>
      <c r="E172" s="567"/>
      <c r="F172" s="385">
        <f aca="true" t="shared" si="16" ref="F172:L172">SUM(F167:F171)</f>
        <v>13708081</v>
      </c>
      <c r="G172" s="385">
        <f t="shared" si="16"/>
        <v>1974175</v>
      </c>
      <c r="H172" s="385">
        <f t="shared" si="16"/>
        <v>0</v>
      </c>
      <c r="I172" s="385">
        <f t="shared" si="16"/>
        <v>0</v>
      </c>
      <c r="J172" s="385">
        <f t="shared" si="16"/>
        <v>262906</v>
      </c>
      <c r="K172" s="385">
        <f t="shared" si="16"/>
        <v>0</v>
      </c>
      <c r="L172" s="385">
        <f t="shared" si="16"/>
        <v>11471000</v>
      </c>
      <c r="M172" s="490">
        <f>Innovation!AM35</f>
        <v>13708081</v>
      </c>
      <c r="N172" s="490">
        <f>Innovation!AN35</f>
        <v>1974175</v>
      </c>
      <c r="O172" s="490">
        <f>Innovation!AO35</f>
        <v>0</v>
      </c>
      <c r="P172" s="490">
        <f>Innovation!AP35</f>
        <v>0</v>
      </c>
      <c r="Q172" s="490">
        <f>Innovation!AQ35</f>
        <v>262906</v>
      </c>
      <c r="R172" s="490">
        <f>Innovation!AR35</f>
        <v>0</v>
      </c>
      <c r="S172" s="490">
        <f>Innovation!AS35</f>
        <v>11471000</v>
      </c>
      <c r="T172" s="45"/>
    </row>
    <row r="173" spans="1:19" ht="26.25" customHeight="1">
      <c r="A173" s="389">
        <v>10</v>
      </c>
      <c r="B173" s="850" t="s">
        <v>577</v>
      </c>
      <c r="C173" s="851"/>
      <c r="D173" s="851"/>
      <c r="E173" s="851"/>
      <c r="F173" s="851"/>
      <c r="G173" s="851"/>
      <c r="H173" s="851"/>
      <c r="I173" s="851"/>
      <c r="J173" s="851"/>
      <c r="K173" s="851"/>
      <c r="L173" s="852"/>
      <c r="M173" s="488">
        <f>F172-M172</f>
        <v>0</v>
      </c>
      <c r="N173" s="488">
        <f aca="true" t="shared" si="17" ref="N173:S173">G172-N172</f>
        <v>0</v>
      </c>
      <c r="O173" s="488">
        <f t="shared" si="17"/>
        <v>0</v>
      </c>
      <c r="P173" s="488">
        <f t="shared" si="17"/>
        <v>0</v>
      </c>
      <c r="Q173" s="488">
        <f t="shared" si="17"/>
        <v>0</v>
      </c>
      <c r="R173" s="488">
        <f t="shared" si="17"/>
        <v>0</v>
      </c>
      <c r="S173" s="488">
        <f t="shared" si="17"/>
        <v>0</v>
      </c>
    </row>
    <row r="174" spans="1:12" ht="60" customHeight="1">
      <c r="A174" s="847">
        <v>10.1</v>
      </c>
      <c r="B174" s="856" t="s">
        <v>647</v>
      </c>
      <c r="C174" s="407" t="s">
        <v>171</v>
      </c>
      <c r="D174" s="407" t="str">
        <f>'Transparency &amp; Anti-corruption '!E17</f>
        <v>Implementation of the capacity building program for the line ministries and LGUs regarding the implementation of the  Civil Procedure Code (IPA A.1.1)</v>
      </c>
      <c r="E174" s="560"/>
      <c r="F174" s="375">
        <f>'Transparency &amp; Anti-corruption '!AL17</f>
        <v>700000</v>
      </c>
      <c r="G174" s="375">
        <f>'Transparency &amp; Anti-corruption '!AM17</f>
        <v>0</v>
      </c>
      <c r="H174" s="375">
        <f>'Transparency &amp; Anti-corruption '!AN17</f>
        <v>700000</v>
      </c>
      <c r="I174" s="375">
        <f>'Transparency &amp; Anti-corruption '!AO17</f>
        <v>0</v>
      </c>
      <c r="J174" s="375">
        <f>'Transparency &amp; Anti-corruption '!AP17</f>
        <v>0</v>
      </c>
      <c r="K174" s="375">
        <f>'Transparency &amp; Anti-corruption '!AQ17</f>
        <v>0</v>
      </c>
      <c r="L174" s="375">
        <f>'Transparency &amp; Anti-corruption '!AR17</f>
        <v>0</v>
      </c>
    </row>
    <row r="175" spans="1:12" ht="36" customHeight="1">
      <c r="A175" s="849"/>
      <c r="B175" s="857"/>
      <c r="C175" s="407" t="s">
        <v>172</v>
      </c>
      <c r="D175" s="560" t="str">
        <f>'Transparency &amp; Anti-corruption '!E18</f>
        <v>Development of the pilot projects for delegating decision making.</v>
      </c>
      <c r="E175" s="560"/>
      <c r="F175" s="375">
        <f>'Transparency &amp; Anti-corruption '!AL18</f>
        <v>2000000</v>
      </c>
      <c r="G175" s="375">
        <f>'Transparency &amp; Anti-corruption '!AM18</f>
        <v>0</v>
      </c>
      <c r="H175" s="375">
        <f>'Transparency &amp; Anti-corruption '!AN18</f>
        <v>0</v>
      </c>
      <c r="I175" s="375">
        <f>'Transparency &amp; Anti-corruption '!AO18</f>
        <v>0</v>
      </c>
      <c r="J175" s="375">
        <f>'Transparency &amp; Anti-corruption '!AP18</f>
        <v>0</v>
      </c>
      <c r="K175" s="375">
        <f>'Transparency &amp; Anti-corruption '!AQ18</f>
        <v>0</v>
      </c>
      <c r="L175" s="375">
        <f>'Transparency &amp; Anti-corruption '!AR18</f>
        <v>2000000</v>
      </c>
    </row>
    <row r="176" spans="1:12" ht="43.5" customHeight="1">
      <c r="A176" s="836">
        <v>10.2</v>
      </c>
      <c r="B176" s="843" t="s">
        <v>648</v>
      </c>
      <c r="C176" s="407" t="s">
        <v>173</v>
      </c>
      <c r="D176" s="560" t="str">
        <f>'Transparency &amp; Anti-corruption '!E19</f>
        <v>Extending the delation process to the entire public administration.</v>
      </c>
      <c r="E176" s="796" t="s">
        <v>287</v>
      </c>
      <c r="F176" s="375">
        <f>'Transparency &amp; Anti-corruption '!AL19</f>
        <v>0</v>
      </c>
      <c r="G176" s="375">
        <f>'Transparency &amp; Anti-corruption '!AM19</f>
        <v>0</v>
      </c>
      <c r="H176" s="375">
        <f>'Transparency &amp; Anti-corruption '!AN19</f>
        <v>0</v>
      </c>
      <c r="I176" s="375">
        <f>'Transparency &amp; Anti-corruption '!AO19</f>
        <v>0</v>
      </c>
      <c r="J176" s="375">
        <f>'Transparency &amp; Anti-corruption '!AP19</f>
        <v>0</v>
      </c>
      <c r="K176" s="375">
        <f>'Transparency &amp; Anti-corruption '!AQ19</f>
        <v>0</v>
      </c>
      <c r="L176" s="375">
        <f>'Transparency &amp; Anti-corruption '!AR19</f>
        <v>0</v>
      </c>
    </row>
    <row r="177" spans="1:12" ht="33.75" customHeight="1">
      <c r="A177" s="836"/>
      <c r="B177" s="843"/>
      <c r="C177" s="407" t="s">
        <v>174</v>
      </c>
      <c r="D177" s="798" t="str">
        <f>'Transparency &amp; Anti-corruption '!E19</f>
        <v>Extending the delation process to the entire public administration.</v>
      </c>
      <c r="E177" s="798" t="str">
        <f>'Transparency &amp; Anti-corruption '!F19</f>
        <v>The real cost estimate will come out after the completion of the pilot projects. The set cost is merely indicative.</v>
      </c>
      <c r="F177" s="375">
        <f>'Transparency &amp; Anti-corruption '!AL19</f>
        <v>0</v>
      </c>
      <c r="G177" s="375">
        <f>'Transparency &amp; Anti-corruption '!AM19</f>
        <v>0</v>
      </c>
      <c r="H177" s="375">
        <f>'Transparency &amp; Anti-corruption '!AN19</f>
        <v>0</v>
      </c>
      <c r="I177" s="375">
        <f>'Transparency &amp; Anti-corruption '!AO19</f>
        <v>0</v>
      </c>
      <c r="J177" s="375">
        <f>'Transparency &amp; Anti-corruption '!AP19</f>
        <v>0</v>
      </c>
      <c r="K177" s="375">
        <f>'Transparency &amp; Anti-corruption '!AQ19</f>
        <v>0</v>
      </c>
      <c r="L177" s="375">
        <f>'Transparency &amp; Anti-corruption '!AR19</f>
        <v>0</v>
      </c>
    </row>
    <row r="178" spans="1:19" ht="15.75" customHeight="1">
      <c r="A178" s="384"/>
      <c r="B178" s="838" t="s">
        <v>649</v>
      </c>
      <c r="C178" s="839"/>
      <c r="D178" s="840"/>
      <c r="E178" s="565"/>
      <c r="F178" s="385">
        <f aca="true" t="shared" si="18" ref="F178:L178">SUM(F174:F177)</f>
        <v>2700000</v>
      </c>
      <c r="G178" s="385">
        <f t="shared" si="18"/>
        <v>0</v>
      </c>
      <c r="H178" s="385">
        <f t="shared" si="18"/>
        <v>700000</v>
      </c>
      <c r="I178" s="385">
        <f t="shared" si="18"/>
        <v>0</v>
      </c>
      <c r="J178" s="385">
        <f t="shared" si="18"/>
        <v>0</v>
      </c>
      <c r="K178" s="385">
        <f t="shared" si="18"/>
        <v>0</v>
      </c>
      <c r="L178" s="385">
        <f t="shared" si="18"/>
        <v>2000000</v>
      </c>
      <c r="M178" s="489">
        <f>'Transparency &amp; Anti-corruption '!AL20</f>
        <v>2700000</v>
      </c>
      <c r="N178" s="489">
        <f>'Transparency &amp; Anti-corruption '!AM20</f>
        <v>0</v>
      </c>
      <c r="O178" s="489">
        <f>'Transparency &amp; Anti-corruption '!AN20</f>
        <v>700000</v>
      </c>
      <c r="P178" s="489">
        <f>'Transparency &amp; Anti-corruption '!AO20</f>
        <v>0</v>
      </c>
      <c r="Q178" s="489">
        <f>'Transparency &amp; Anti-corruption '!AP20</f>
        <v>0</v>
      </c>
      <c r="R178" s="489">
        <f>'Transparency &amp; Anti-corruption '!AQ20</f>
        <v>0</v>
      </c>
      <c r="S178" s="489">
        <f>'Transparency &amp; Anti-corruption '!AR20</f>
        <v>2000000</v>
      </c>
    </row>
    <row r="179" spans="1:19" ht="28.5" customHeight="1">
      <c r="A179" s="389">
        <v>11</v>
      </c>
      <c r="B179" s="844" t="s">
        <v>650</v>
      </c>
      <c r="C179" s="845"/>
      <c r="D179" s="845"/>
      <c r="E179" s="845"/>
      <c r="F179" s="845"/>
      <c r="G179" s="845"/>
      <c r="H179" s="845"/>
      <c r="I179" s="845"/>
      <c r="J179" s="845"/>
      <c r="K179" s="845"/>
      <c r="L179" s="846"/>
      <c r="M179" s="488">
        <f>F178-M178</f>
        <v>0</v>
      </c>
      <c r="N179" s="488">
        <f aca="true" t="shared" si="19" ref="N179:S179">G178-N178</f>
        <v>0</v>
      </c>
      <c r="O179" s="488">
        <f t="shared" si="19"/>
        <v>0</v>
      </c>
      <c r="P179" s="488">
        <f t="shared" si="19"/>
        <v>0</v>
      </c>
      <c r="Q179" s="488">
        <f t="shared" si="19"/>
        <v>0</v>
      </c>
      <c r="R179" s="488">
        <f t="shared" si="19"/>
        <v>0</v>
      </c>
      <c r="S179" s="488">
        <f t="shared" si="19"/>
        <v>0</v>
      </c>
    </row>
    <row r="180" spans="1:12" ht="55.5" customHeight="1">
      <c r="A180" s="408">
        <v>11.1</v>
      </c>
      <c r="B180" s="797" t="s">
        <v>585</v>
      </c>
      <c r="C180" s="407">
        <v>11.1</v>
      </c>
      <c r="D180" s="407"/>
      <c r="E180" s="560"/>
      <c r="F180" s="375"/>
      <c r="G180" s="383"/>
      <c r="H180" s="383"/>
      <c r="I180" s="383"/>
      <c r="J180" s="383"/>
      <c r="K180" s="383"/>
      <c r="L180" s="383">
        <f>F180-G180-H180-K180</f>
        <v>0</v>
      </c>
    </row>
    <row r="181" spans="1:12" ht="53.25" customHeight="1">
      <c r="A181" s="408">
        <v>11.2</v>
      </c>
      <c r="B181" s="797" t="s">
        <v>586</v>
      </c>
      <c r="C181" s="407">
        <v>11.2</v>
      </c>
      <c r="D181" s="407"/>
      <c r="E181" s="560"/>
      <c r="F181" s="375"/>
      <c r="G181" s="383"/>
      <c r="H181" s="383"/>
      <c r="I181" s="383"/>
      <c r="J181" s="383"/>
      <c r="K181" s="383"/>
      <c r="L181" s="383">
        <f>F181-G181-H181-K181</f>
        <v>0</v>
      </c>
    </row>
    <row r="182" spans="1:12" ht="68.25" customHeight="1">
      <c r="A182" s="559">
        <v>11.3</v>
      </c>
      <c r="B182" s="560" t="str">
        <f>'Transparency &amp; Anti-corruption '!C24</f>
        <v>The development of an evaluation mechanism to monitor the coherent and consistent implementation of standards in public administration.</v>
      </c>
      <c r="C182" s="407" t="s">
        <v>200</v>
      </c>
      <c r="D182" s="407" t="str">
        <f>'Transparency &amp; Anti-corruption '!E24</f>
        <v>Development of standards enforcement monitoring program (IPA A.2.1)</v>
      </c>
      <c r="E182" s="560"/>
      <c r="F182" s="375">
        <f>'Transparency &amp; Anti-corruption '!AL24</f>
        <v>600000</v>
      </c>
      <c r="G182" s="375">
        <f>'Transparency &amp; Anti-corruption '!AM24</f>
        <v>0</v>
      </c>
      <c r="H182" s="375">
        <f>'Transparency &amp; Anti-corruption '!AN24</f>
        <v>600000</v>
      </c>
      <c r="I182" s="375">
        <f>'Transparency &amp; Anti-corruption '!AO24</f>
        <v>0</v>
      </c>
      <c r="J182" s="375">
        <f>'Transparency &amp; Anti-corruption '!AP24</f>
        <v>0</v>
      </c>
      <c r="K182" s="375">
        <f>'Transparency &amp; Anti-corruption '!AQ24</f>
        <v>0</v>
      </c>
      <c r="L182" s="375">
        <f>'Transparency &amp; Anti-corruption '!AR24</f>
        <v>0</v>
      </c>
    </row>
    <row r="183" spans="1:19" ht="15.75" customHeight="1">
      <c r="A183" s="384"/>
      <c r="B183" s="897" t="s">
        <v>653</v>
      </c>
      <c r="C183" s="898"/>
      <c r="D183" s="899"/>
      <c r="E183" s="569"/>
      <c r="F183" s="385">
        <f aca="true" t="shared" si="20" ref="F183:L183">SUM(F180:F182)</f>
        <v>600000</v>
      </c>
      <c r="G183" s="385">
        <f t="shared" si="20"/>
        <v>0</v>
      </c>
      <c r="H183" s="385">
        <f t="shared" si="20"/>
        <v>600000</v>
      </c>
      <c r="I183" s="385">
        <f t="shared" si="20"/>
        <v>0</v>
      </c>
      <c r="J183" s="385">
        <f t="shared" si="20"/>
        <v>0</v>
      </c>
      <c r="K183" s="385">
        <f t="shared" si="20"/>
        <v>0</v>
      </c>
      <c r="L183" s="385">
        <f t="shared" si="20"/>
        <v>0</v>
      </c>
      <c r="M183" s="489">
        <f>'Transparency &amp; Anti-corruption '!AL25</f>
        <v>600000</v>
      </c>
      <c r="N183" s="489">
        <f>'Transparency &amp; Anti-corruption '!AM25</f>
        <v>0</v>
      </c>
      <c r="O183" s="489">
        <f>'Transparency &amp; Anti-corruption '!AN25</f>
        <v>600000</v>
      </c>
      <c r="P183" s="489">
        <f>'Transparency &amp; Anti-corruption '!AO25</f>
        <v>0</v>
      </c>
      <c r="Q183" s="489">
        <f>'Transparency &amp; Anti-corruption '!AP25</f>
        <v>0</v>
      </c>
      <c r="R183" s="489">
        <f>'Transparency &amp; Anti-corruption '!AQ25</f>
        <v>0</v>
      </c>
      <c r="S183" s="489">
        <f>'Transparency &amp; Anti-corruption '!AR25</f>
        <v>0</v>
      </c>
    </row>
    <row r="184" spans="1:19" s="157" customFormat="1" ht="15.75" customHeight="1">
      <c r="A184" s="391"/>
      <c r="B184" s="894" t="s">
        <v>2</v>
      </c>
      <c r="C184" s="895"/>
      <c r="D184" s="896"/>
      <c r="E184" s="568"/>
      <c r="F184" s="392">
        <f aca="true" t="shared" si="21" ref="F184:L184">F41+F63+F84+F96+F103+F145+F151+F165+F172+F178+F183</f>
        <v>79644514.4</v>
      </c>
      <c r="G184" s="392">
        <f t="shared" si="21"/>
        <v>18818158.4012</v>
      </c>
      <c r="H184" s="392">
        <f t="shared" si="21"/>
        <v>5394266.25</v>
      </c>
      <c r="I184" s="392">
        <f t="shared" si="21"/>
        <v>315000</v>
      </c>
      <c r="J184" s="392">
        <f t="shared" si="21"/>
        <v>18053278</v>
      </c>
      <c r="K184" s="392">
        <f t="shared" si="21"/>
        <v>916078</v>
      </c>
      <c r="L184" s="392">
        <f t="shared" si="21"/>
        <v>36147733.748799995</v>
      </c>
      <c r="M184" s="495">
        <f aca="true" t="shared" si="22" ref="M184:S184">F183-M183</f>
        <v>0</v>
      </c>
      <c r="N184" s="495">
        <f t="shared" si="22"/>
        <v>0</v>
      </c>
      <c r="O184" s="495">
        <f t="shared" si="22"/>
        <v>0</v>
      </c>
      <c r="P184" s="495">
        <f t="shared" si="22"/>
        <v>0</v>
      </c>
      <c r="Q184" s="495">
        <f t="shared" si="22"/>
        <v>0</v>
      </c>
      <c r="R184" s="495">
        <f t="shared" si="22"/>
        <v>0</v>
      </c>
      <c r="S184" s="495">
        <f t="shared" si="22"/>
        <v>0</v>
      </c>
    </row>
    <row r="185" spans="1:12" ht="15.75" customHeight="1">
      <c r="A185" s="394"/>
      <c r="B185" s="395"/>
      <c r="C185" s="396"/>
      <c r="D185" s="422"/>
      <c r="E185" s="422"/>
      <c r="F185" s="397"/>
      <c r="G185" s="398"/>
      <c r="H185" s="398"/>
      <c r="I185" s="398"/>
      <c r="J185" s="398"/>
      <c r="K185" s="398"/>
      <c r="L185" s="399"/>
    </row>
    <row r="186" spans="1:12" ht="15.75" customHeight="1">
      <c r="A186" s="394"/>
      <c r="B186" s="395"/>
      <c r="C186" s="396"/>
      <c r="D186" s="422"/>
      <c r="E186" s="422"/>
      <c r="F186" s="397"/>
      <c r="G186" s="372"/>
      <c r="H186" s="372"/>
      <c r="I186" s="372"/>
      <c r="J186" s="372"/>
      <c r="K186" s="372"/>
      <c r="L186" s="373"/>
    </row>
    <row r="187" spans="1:12" ht="15.75" customHeight="1">
      <c r="A187" s="394"/>
      <c r="B187" s="395"/>
      <c r="C187" s="396"/>
      <c r="D187" s="423" t="s">
        <v>697</v>
      </c>
      <c r="E187" s="400">
        <f>'Civil Service &amp; HRM'!AL44</f>
        <v>5819425</v>
      </c>
      <c r="F187" s="400">
        <f>'Civil Service &amp; HRM'!AM44</f>
        <v>405000</v>
      </c>
      <c r="G187" s="400">
        <f>'Civil Service &amp; HRM'!AN44</f>
        <v>1200000</v>
      </c>
      <c r="H187" s="400">
        <f>'Civil Service &amp; HRM'!AO44</f>
        <v>50000</v>
      </c>
      <c r="I187" s="400">
        <f>'Civil Service &amp; HRM'!AP44</f>
        <v>348000</v>
      </c>
      <c r="J187" s="400">
        <f>'Civil Service &amp; HRM'!AQ44</f>
        <v>0</v>
      </c>
      <c r="K187" s="400">
        <f>'Civil Service &amp; HRM'!AR44</f>
        <v>3816425</v>
      </c>
      <c r="L187" s="45"/>
    </row>
    <row r="188" spans="1:12" ht="15.75" customHeight="1">
      <c r="A188" s="394"/>
      <c r="B188" s="395"/>
      <c r="C188" s="396"/>
      <c r="D188" s="423" t="s">
        <v>210</v>
      </c>
      <c r="E188" s="400">
        <f>ASPA!AU45</f>
        <v>989131</v>
      </c>
      <c r="F188" s="400">
        <f>ASPA!AV45</f>
        <v>317106.515</v>
      </c>
      <c r="G188" s="400">
        <f>ASPA!AW45</f>
        <v>672024.25</v>
      </c>
      <c r="H188" s="400">
        <f>ASPA!AX45</f>
        <v>0</v>
      </c>
      <c r="I188" s="400">
        <f>ASPA!AY45</f>
        <v>0</v>
      </c>
      <c r="J188" s="400">
        <f>ASPA!AZ45</f>
        <v>0</v>
      </c>
      <c r="K188" s="400">
        <f>ASPA!BA45</f>
        <v>0.2349999999796637</v>
      </c>
      <c r="L188" s="45"/>
    </row>
    <row r="189" spans="1:12" ht="15.75" customHeight="1">
      <c r="A189" s="394"/>
      <c r="B189" s="395"/>
      <c r="C189" s="396"/>
      <c r="D189" s="423" t="s">
        <v>698</v>
      </c>
      <c r="E189" s="400">
        <f>'Policy&amp;Monitoring&amp;Legislation'!AN88</f>
        <v>10852580.4</v>
      </c>
      <c r="F189" s="400">
        <f>'Policy&amp;Monitoring&amp;Legislation'!AO88</f>
        <v>96145.40000000001</v>
      </c>
      <c r="G189" s="400">
        <f>'Policy&amp;Monitoring&amp;Legislation'!AP88</f>
        <v>450000</v>
      </c>
      <c r="H189" s="400">
        <f>'Policy&amp;Monitoring&amp;Legislation'!AQ88</f>
        <v>0</v>
      </c>
      <c r="I189" s="400">
        <f>'Policy&amp;Monitoring&amp;Legislation'!AR88</f>
        <v>372900</v>
      </c>
      <c r="J189" s="400">
        <f>'Policy&amp;Monitoring&amp;Legislation'!AS88</f>
        <v>0</v>
      </c>
      <c r="K189" s="400">
        <f>'Policy&amp;Monitoring&amp;Legislation'!AT88</f>
        <v>9933535</v>
      </c>
      <c r="L189" s="45"/>
    </row>
    <row r="190" spans="1:12" ht="15.75" customHeight="1">
      <c r="A190" s="394"/>
      <c r="B190" s="395"/>
      <c r="C190" s="396"/>
      <c r="D190" s="423" t="s">
        <v>211</v>
      </c>
      <c r="E190" s="400">
        <f>Innovation!AM36</f>
        <v>50483328</v>
      </c>
      <c r="F190" s="400">
        <f>Innovation!AN36</f>
        <v>13699906.4862</v>
      </c>
      <c r="G190" s="400">
        <f>Innovation!AO36</f>
        <v>1272242</v>
      </c>
      <c r="H190" s="400">
        <f>Innovation!AP36</f>
        <v>0</v>
      </c>
      <c r="I190" s="400">
        <f>Innovation!AQ36</f>
        <v>17332378</v>
      </c>
      <c r="J190" s="400">
        <f>Innovation!AR36</f>
        <v>916078</v>
      </c>
      <c r="K190" s="400">
        <f>Innovation!AS36</f>
        <v>17262723.5138</v>
      </c>
      <c r="L190" s="45"/>
    </row>
    <row r="191" spans="1:12" ht="15.75" customHeight="1">
      <c r="A191" s="394"/>
      <c r="B191" s="395"/>
      <c r="C191" s="396"/>
      <c r="D191" s="423" t="s">
        <v>699</v>
      </c>
      <c r="E191" s="400">
        <f>'Decentralisation '!AL16</f>
        <v>8127900</v>
      </c>
      <c r="F191" s="400">
        <f>'Decentralisation '!AM16</f>
        <v>4300000</v>
      </c>
      <c r="G191" s="400">
        <f>'Decentralisation '!AN16</f>
        <v>500000</v>
      </c>
      <c r="H191" s="400">
        <f>'Decentralisation '!AO16</f>
        <v>265000</v>
      </c>
      <c r="I191" s="400">
        <f>'Decentralisation '!AP16</f>
        <v>0</v>
      </c>
      <c r="J191" s="400">
        <f>'Decentralisation '!AQ16</f>
        <v>0</v>
      </c>
      <c r="K191" s="400">
        <f>'Decentralisation '!AR16</f>
        <v>3062900</v>
      </c>
      <c r="L191" s="45"/>
    </row>
    <row r="192" spans="1:12" ht="15.75" customHeight="1">
      <c r="A192" s="394"/>
      <c r="B192" s="395"/>
      <c r="C192" s="396"/>
      <c r="D192" s="423" t="s">
        <v>700</v>
      </c>
      <c r="E192" s="400">
        <f>'Transparency &amp; Anti-corruption '!AL26</f>
        <v>3372150</v>
      </c>
      <c r="F192" s="400">
        <f>'Transparency &amp; Anti-corruption '!AM26</f>
        <v>0</v>
      </c>
      <c r="G192" s="400">
        <f>'Transparency &amp; Anti-corruption '!AN26</f>
        <v>1300000</v>
      </c>
      <c r="H192" s="400">
        <f>'Transparency &amp; Anti-corruption '!AO26</f>
        <v>0</v>
      </c>
      <c r="I192" s="400">
        <f>'Transparency &amp; Anti-corruption '!AP26</f>
        <v>0</v>
      </c>
      <c r="J192" s="400">
        <f>'Transparency &amp; Anti-corruption '!AQ26</f>
        <v>0</v>
      </c>
      <c r="K192" s="400">
        <f>'Transparency &amp; Anti-corruption '!AR26</f>
        <v>2072150</v>
      </c>
      <c r="L192" s="45"/>
    </row>
    <row r="193" spans="1:12" ht="15.75" customHeight="1">
      <c r="A193" s="394"/>
      <c r="B193" s="395"/>
      <c r="C193" s="396"/>
      <c r="D193" s="423" t="s">
        <v>1</v>
      </c>
      <c r="E193" s="393">
        <f aca="true" t="shared" si="23" ref="E193:K193">SUM(E187:E192)</f>
        <v>79644514.4</v>
      </c>
      <c r="F193" s="393">
        <f t="shared" si="23"/>
        <v>18818158.4012</v>
      </c>
      <c r="G193" s="393">
        <f t="shared" si="23"/>
        <v>5394266.25</v>
      </c>
      <c r="H193" s="393">
        <f t="shared" si="23"/>
        <v>315000</v>
      </c>
      <c r="I193" s="393">
        <f t="shared" si="23"/>
        <v>18053278</v>
      </c>
      <c r="J193" s="393">
        <f t="shared" si="23"/>
        <v>916078</v>
      </c>
      <c r="K193" s="393">
        <f t="shared" si="23"/>
        <v>36147733.748799995</v>
      </c>
      <c r="L193" s="45"/>
    </row>
    <row r="194" spans="1:12" ht="15.75" customHeight="1">
      <c r="A194" s="394"/>
      <c r="B194" s="395"/>
      <c r="C194" s="396"/>
      <c r="D194" s="422" t="s">
        <v>654</v>
      </c>
      <c r="E194" s="401">
        <f aca="true" t="shared" si="24" ref="E194:K194">F184-E193</f>
        <v>0</v>
      </c>
      <c r="F194" s="401">
        <f t="shared" si="24"/>
        <v>0</v>
      </c>
      <c r="G194" s="401">
        <f t="shared" si="24"/>
        <v>0</v>
      </c>
      <c r="H194" s="401">
        <f t="shared" si="24"/>
        <v>0</v>
      </c>
      <c r="I194" s="401">
        <f t="shared" si="24"/>
        <v>0</v>
      </c>
      <c r="J194" s="401">
        <f t="shared" si="24"/>
        <v>0</v>
      </c>
      <c r="K194" s="401">
        <f t="shared" si="24"/>
        <v>0</v>
      </c>
      <c r="L194" s="45"/>
    </row>
    <row r="195" spans="1:12" ht="15.75" customHeight="1">
      <c r="A195" s="394"/>
      <c r="B195" s="395"/>
      <c r="C195" s="396"/>
      <c r="D195" s="422"/>
      <c r="E195" s="422"/>
      <c r="F195" s="397"/>
      <c r="G195" s="372"/>
      <c r="H195" s="372"/>
      <c r="I195" s="372"/>
      <c r="J195" s="372"/>
      <c r="K195" s="372"/>
      <c r="L195" s="373"/>
    </row>
    <row r="196" spans="1:12" ht="15.75" customHeight="1">
      <c r="A196" s="394"/>
      <c r="B196" s="395"/>
      <c r="C196" s="396"/>
      <c r="D196" s="422"/>
      <c r="E196" s="422"/>
      <c r="F196" s="397"/>
      <c r="G196" s="372"/>
      <c r="H196" s="372"/>
      <c r="I196" s="372"/>
      <c r="J196" s="372"/>
      <c r="K196" s="372"/>
      <c r="L196" s="373"/>
    </row>
    <row r="197" spans="1:12" ht="15.75" customHeight="1">
      <c r="A197" s="394"/>
      <c r="B197" s="395"/>
      <c r="C197" s="396"/>
      <c r="D197" s="422"/>
      <c r="E197" s="422"/>
      <c r="F197" s="400" t="s">
        <v>1</v>
      </c>
      <c r="G197" s="402">
        <f>F184</f>
        <v>79644514.4</v>
      </c>
      <c r="H197" s="402"/>
      <c r="I197" s="372"/>
      <c r="J197" s="372"/>
      <c r="K197" s="372"/>
      <c r="L197" s="373"/>
    </row>
    <row r="198" spans="1:12" ht="15.75" customHeight="1">
      <c r="A198" s="394"/>
      <c r="B198" s="395"/>
      <c r="C198" s="396"/>
      <c r="D198" s="422"/>
      <c r="E198" s="422"/>
      <c r="F198" s="400" t="s">
        <v>701</v>
      </c>
      <c r="G198" s="402">
        <f>G184</f>
        <v>18818158.4012</v>
      </c>
      <c r="H198" s="403">
        <f>G198/$G$197</f>
        <v>0.23627689292810855</v>
      </c>
      <c r="I198" s="372"/>
      <c r="J198" s="372"/>
      <c r="K198" s="372"/>
      <c r="L198" s="373"/>
    </row>
    <row r="199" spans="1:12" ht="15.75" customHeight="1">
      <c r="A199" s="394"/>
      <c r="B199" s="395"/>
      <c r="C199" s="396"/>
      <c r="D199" s="422"/>
      <c r="E199" s="422"/>
      <c r="F199" s="400" t="s">
        <v>223</v>
      </c>
      <c r="G199" s="402">
        <f>H184+I184+J184+K184+Innovation!AU38</f>
        <v>36377423.3638</v>
      </c>
      <c r="H199" s="403">
        <f>G199/$G$197</f>
        <v>0.45674738100732265</v>
      </c>
      <c r="I199" s="372"/>
      <c r="J199" s="372"/>
      <c r="K199" s="372"/>
      <c r="L199" s="373"/>
    </row>
    <row r="200" spans="1:12" ht="15.75" customHeight="1">
      <c r="A200" s="394"/>
      <c r="B200" s="395"/>
      <c r="C200" s="396"/>
      <c r="D200" s="422"/>
      <c r="E200" s="422"/>
      <c r="F200" s="400" t="s">
        <v>262</v>
      </c>
      <c r="G200" s="402">
        <f>L184-Innovation!AU38</f>
        <v>24448932.634999998</v>
      </c>
      <c r="H200" s="403">
        <f>G200/$G$197</f>
        <v>0.3069757260645687</v>
      </c>
      <c r="I200" s="372"/>
      <c r="J200" s="372"/>
      <c r="K200" s="372"/>
      <c r="L200" s="373"/>
    </row>
    <row r="201" spans="1:12" ht="15.75" customHeight="1">
      <c r="A201" s="394"/>
      <c r="B201" s="395"/>
      <c r="C201" s="396"/>
      <c r="D201" s="422"/>
      <c r="F201" s="400"/>
      <c r="G201" s="402"/>
      <c r="H201" s="403"/>
      <c r="I201" s="372"/>
      <c r="J201" s="372"/>
      <c r="K201" s="372"/>
      <c r="L201" s="373"/>
    </row>
  </sheetData>
  <sheetProtection/>
  <mergeCells count="113">
    <mergeCell ref="B168:B170"/>
    <mergeCell ref="A160:A162"/>
    <mergeCell ref="B160:B162"/>
    <mergeCell ref="A163:A164"/>
    <mergeCell ref="A157:A158"/>
    <mergeCell ref="B157:B158"/>
    <mergeCell ref="A122:A125"/>
    <mergeCell ref="B152:L152"/>
    <mergeCell ref="B184:D184"/>
    <mergeCell ref="B183:D183"/>
    <mergeCell ref="B179:L179"/>
    <mergeCell ref="B173:L173"/>
    <mergeCell ref="A147:A148"/>
    <mergeCell ref="B147:B148"/>
    <mergeCell ref="B166:L166"/>
    <mergeCell ref="B178:D178"/>
    <mergeCell ref="B151:D151"/>
    <mergeCell ref="A176:A177"/>
    <mergeCell ref="B176:B177"/>
    <mergeCell ref="B146:L146"/>
    <mergeCell ref="B163:B164"/>
    <mergeCell ref="B165:D165"/>
    <mergeCell ref="B172:D172"/>
    <mergeCell ref="A153:A154"/>
    <mergeCell ref="B153:B154"/>
    <mergeCell ref="A168:A170"/>
    <mergeCell ref="A136:A144"/>
    <mergeCell ref="A127:A135"/>
    <mergeCell ref="A106:A108"/>
    <mergeCell ref="B106:B108"/>
    <mergeCell ref="B122:B126"/>
    <mergeCell ref="B145:D145"/>
    <mergeCell ref="B112:B115"/>
    <mergeCell ref="A110:A111"/>
    <mergeCell ref="B110:B111"/>
    <mergeCell ref="A112:A115"/>
    <mergeCell ref="B104:L104"/>
    <mergeCell ref="A174:A175"/>
    <mergeCell ref="B174:B175"/>
    <mergeCell ref="B127:B135"/>
    <mergeCell ref="B136:B144"/>
    <mergeCell ref="A118:A119"/>
    <mergeCell ref="B118:B119"/>
    <mergeCell ref="B116:B117"/>
    <mergeCell ref="A120:A121"/>
    <mergeCell ref="B120:B121"/>
    <mergeCell ref="A35:A36"/>
    <mergeCell ref="B35:B36"/>
    <mergeCell ref="A32:A33"/>
    <mergeCell ref="B32:B33"/>
    <mergeCell ref="L6:L7"/>
    <mergeCell ref="A3:A7"/>
    <mergeCell ref="B3:B7"/>
    <mergeCell ref="C3:D7"/>
    <mergeCell ref="E3:E7"/>
    <mergeCell ref="E32:E33"/>
    <mergeCell ref="G3:L5"/>
    <mergeCell ref="A27:A29"/>
    <mergeCell ref="B27:B29"/>
    <mergeCell ref="A30:A31"/>
    <mergeCell ref="B30:B31"/>
    <mergeCell ref="B10:B19"/>
    <mergeCell ref="B9:L9"/>
    <mergeCell ref="G6:G7"/>
    <mergeCell ref="B45:B48"/>
    <mergeCell ref="B41:D41"/>
    <mergeCell ref="B37:B40"/>
    <mergeCell ref="A37:A40"/>
    <mergeCell ref="A45:A48"/>
    <mergeCell ref="A43:A44"/>
    <mergeCell ref="B43:B44"/>
    <mergeCell ref="B42:L42"/>
    <mergeCell ref="B2:F2"/>
    <mergeCell ref="F3:F7"/>
    <mergeCell ref="A24:A26"/>
    <mergeCell ref="B24:B26"/>
    <mergeCell ref="A10:A19"/>
    <mergeCell ref="D22:D23"/>
    <mergeCell ref="C22:C23"/>
    <mergeCell ref="B71:B74"/>
    <mergeCell ref="A55:A57"/>
    <mergeCell ref="B55:B57"/>
    <mergeCell ref="A58:A60"/>
    <mergeCell ref="B58:B60"/>
    <mergeCell ref="B64:L64"/>
    <mergeCell ref="B61:B62"/>
    <mergeCell ref="A61:A62"/>
    <mergeCell ref="A75:A78"/>
    <mergeCell ref="B75:B78"/>
    <mergeCell ref="A80:A83"/>
    <mergeCell ref="B80:B83"/>
    <mergeCell ref="A51:A54"/>
    <mergeCell ref="B51:B54"/>
    <mergeCell ref="B63:D63"/>
    <mergeCell ref="A65:A70"/>
    <mergeCell ref="B65:B70"/>
    <mergeCell ref="A71:A74"/>
    <mergeCell ref="B86:B89"/>
    <mergeCell ref="A90:A91"/>
    <mergeCell ref="B90:B91"/>
    <mergeCell ref="A92:A95"/>
    <mergeCell ref="B97:L97"/>
    <mergeCell ref="B96:D96"/>
    <mergeCell ref="A116:A117"/>
    <mergeCell ref="A98:A100"/>
    <mergeCell ref="B103:D103"/>
    <mergeCell ref="B49:B50"/>
    <mergeCell ref="A49:A50"/>
    <mergeCell ref="B92:B95"/>
    <mergeCell ref="B84:D84"/>
    <mergeCell ref="B85:D85"/>
    <mergeCell ref="B98:B100"/>
    <mergeCell ref="A86:A89"/>
  </mergeCells>
  <printOptions horizontalCentered="1" verticalCentered="1"/>
  <pageMargins left="0.7" right="0.7" top="0.75" bottom="0.75" header="0.3" footer="0.3"/>
  <pageSetup fitToHeight="0" fitToWidth="1" orientation="landscape" paperSize="9" scale="65" r:id="rId1"/>
</worksheet>
</file>

<file path=xl/worksheets/sheet4.xml><?xml version="1.0" encoding="utf-8"?>
<worksheet xmlns="http://schemas.openxmlformats.org/spreadsheetml/2006/main" xmlns:r="http://schemas.openxmlformats.org/officeDocument/2006/relationships">
  <dimension ref="A1:AT46"/>
  <sheetViews>
    <sheetView zoomScalePageLayoutView="0" workbookViewId="0" topLeftCell="A1">
      <selection activeCell="AM36" sqref="AM36"/>
    </sheetView>
  </sheetViews>
  <sheetFormatPr defaultColWidth="9.140625" defaultRowHeight="15"/>
  <cols>
    <col min="1" max="1" width="6.28125" style="316" customWidth="1"/>
    <col min="2" max="2" width="4.57421875" style="316" customWidth="1"/>
    <col min="3" max="3" width="21.140625" style="317" customWidth="1"/>
    <col min="4" max="4" width="5.28125" style="318" customWidth="1"/>
    <col min="5" max="5" width="20.7109375" style="613" customWidth="1"/>
    <col min="6" max="6" width="14.8515625" style="319" customWidth="1"/>
    <col min="7" max="7" width="5.8515625" style="320" customWidth="1"/>
    <col min="8" max="8" width="7.7109375" style="321" customWidth="1"/>
    <col min="9" max="9" width="7.28125" style="321" customWidth="1"/>
    <col min="10" max="10" width="9.7109375" style="320" customWidth="1"/>
    <col min="11" max="11" width="10.00390625" style="322" customWidth="1"/>
    <col min="12" max="12" width="9.57421875" style="322" customWidth="1"/>
    <col min="13" max="13" width="10.8515625" style="322" customWidth="1"/>
    <col min="14" max="14" width="11.8515625" style="322" customWidth="1"/>
    <col min="15" max="15" width="12.140625" style="322" customWidth="1"/>
    <col min="16" max="16" width="12.8515625" style="322" customWidth="1"/>
    <col min="17" max="18" width="11.57421875" style="322" customWidth="1"/>
    <col min="19" max="19" width="10.7109375" style="323" customWidth="1"/>
    <col min="20" max="20" width="9.28125" style="324" customWidth="1"/>
    <col min="21" max="21" width="7.421875" style="324" customWidth="1"/>
    <col min="22" max="22" width="9.7109375" style="323" customWidth="1"/>
    <col min="23" max="23" width="8.28125" style="325" customWidth="1"/>
    <col min="24" max="24" width="6.8515625" style="325" customWidth="1"/>
    <col min="25" max="25" width="10.28125" style="325" customWidth="1"/>
    <col min="26" max="26" width="11.28125" style="326" customWidth="1"/>
    <col min="27" max="27" width="10.28125" style="326" customWidth="1"/>
    <col min="28" max="28" width="8.28125" style="326" customWidth="1"/>
    <col min="29" max="29" width="15.28125" style="326" customWidth="1"/>
    <col min="30" max="30" width="12.57421875" style="326" customWidth="1"/>
    <col min="31" max="31" width="7.28125" style="326" customWidth="1"/>
    <col min="32" max="32" width="13.140625" style="326" customWidth="1"/>
    <col min="33" max="33" width="9.28125" style="326" customWidth="1"/>
    <col min="34" max="34" width="6.8515625" style="326" customWidth="1"/>
    <col min="35" max="35" width="11.00390625" style="326" customWidth="1"/>
    <col min="36" max="36" width="10.7109375" style="326" customWidth="1"/>
    <col min="37" max="37" width="13.57421875" style="327" customWidth="1"/>
    <col min="38" max="38" width="10.57421875" style="325" customWidth="1"/>
    <col min="39" max="39" width="12.421875" style="417" customWidth="1"/>
    <col min="40" max="41" width="10.140625" style="326" customWidth="1"/>
    <col min="42" max="43" width="9.00390625" style="326" customWidth="1"/>
    <col min="44" max="44" width="12.28125" style="328" customWidth="1"/>
    <col min="45" max="45" width="9.8515625" style="302" bestFit="1" customWidth="1"/>
    <col min="46" max="46" width="11.8515625" style="303" customWidth="1"/>
    <col min="47" max="16384" width="9.140625" style="303" customWidth="1"/>
  </cols>
  <sheetData>
    <row r="1" spans="1:45" s="235" customFormat="1" ht="12.75">
      <c r="A1" s="222"/>
      <c r="B1" s="222"/>
      <c r="C1" s="223"/>
      <c r="D1" s="224"/>
      <c r="E1" s="607"/>
      <c r="F1" s="225"/>
      <c r="G1" s="226"/>
      <c r="H1" s="227"/>
      <c r="I1" s="227"/>
      <c r="J1" s="226"/>
      <c r="K1" s="228"/>
      <c r="L1" s="228"/>
      <c r="M1" s="228"/>
      <c r="N1" s="228"/>
      <c r="O1" s="228"/>
      <c r="P1" s="228"/>
      <c r="Q1" s="228"/>
      <c r="R1" s="228"/>
      <c r="S1" s="229"/>
      <c r="T1" s="230"/>
      <c r="U1" s="230"/>
      <c r="V1" s="229"/>
      <c r="W1" s="231"/>
      <c r="X1" s="231"/>
      <c r="Y1" s="231"/>
      <c r="Z1" s="232"/>
      <c r="AA1" s="232"/>
      <c r="AB1" s="232"/>
      <c r="AC1" s="232"/>
      <c r="AD1" s="232"/>
      <c r="AE1" s="232"/>
      <c r="AF1" s="232"/>
      <c r="AG1" s="232"/>
      <c r="AH1" s="232"/>
      <c r="AI1" s="232"/>
      <c r="AJ1" s="232"/>
      <c r="AK1" s="233"/>
      <c r="AL1" s="231"/>
      <c r="AM1" s="414"/>
      <c r="AN1" s="232"/>
      <c r="AO1" s="232"/>
      <c r="AP1" s="232"/>
      <c r="AQ1" s="232"/>
      <c r="AR1" s="234"/>
      <c r="AS1" s="236"/>
    </row>
    <row r="2" spans="1:45" s="235" customFormat="1" ht="13.5" customHeight="1" thickBot="1">
      <c r="A2" s="237"/>
      <c r="B2" s="915"/>
      <c r="C2" s="915"/>
      <c r="D2" s="915"/>
      <c r="E2" s="915"/>
      <c r="F2" s="915"/>
      <c r="G2" s="915"/>
      <c r="H2" s="915"/>
      <c r="I2" s="915"/>
      <c r="J2" s="915"/>
      <c r="K2" s="915"/>
      <c r="L2" s="915"/>
      <c r="M2" s="915"/>
      <c r="N2" s="915"/>
      <c r="O2" s="915"/>
      <c r="P2" s="915"/>
      <c r="Q2" s="238"/>
      <c r="R2" s="238"/>
      <c r="S2" s="237"/>
      <c r="T2" s="238"/>
      <c r="U2" s="238"/>
      <c r="V2" s="237"/>
      <c r="W2" s="237"/>
      <c r="X2" s="237"/>
      <c r="Y2" s="237"/>
      <c r="Z2" s="238"/>
      <c r="AA2" s="238"/>
      <c r="AB2" s="238"/>
      <c r="AC2" s="238"/>
      <c r="AD2" s="238"/>
      <c r="AE2" s="238"/>
      <c r="AF2" s="238"/>
      <c r="AG2" s="238"/>
      <c r="AH2" s="238"/>
      <c r="AI2" s="238"/>
      <c r="AJ2" s="238"/>
      <c r="AK2" s="237"/>
      <c r="AL2" s="231"/>
      <c r="AM2" s="414"/>
      <c r="AN2" s="232"/>
      <c r="AO2" s="232"/>
      <c r="AP2" s="232"/>
      <c r="AQ2" s="232"/>
      <c r="AR2" s="234"/>
      <c r="AS2" s="236"/>
    </row>
    <row r="3" spans="1:45" s="239" customFormat="1" ht="24" customHeight="1">
      <c r="A3" s="916"/>
      <c r="B3" s="917"/>
      <c r="C3" s="917"/>
      <c r="D3" s="917"/>
      <c r="E3" s="918"/>
      <c r="F3" s="588"/>
      <c r="G3" s="919" t="s">
        <v>228</v>
      </c>
      <c r="H3" s="920"/>
      <c r="I3" s="920"/>
      <c r="J3" s="921"/>
      <c r="K3" s="919"/>
      <c r="L3" s="920"/>
      <c r="M3" s="920"/>
      <c r="N3" s="920"/>
      <c r="O3" s="920"/>
      <c r="P3" s="920"/>
      <c r="Q3" s="920"/>
      <c r="R3" s="920"/>
      <c r="S3" s="920"/>
      <c r="T3" s="920"/>
      <c r="U3" s="920"/>
      <c r="V3" s="920"/>
      <c r="W3" s="920"/>
      <c r="X3" s="920"/>
      <c r="Y3" s="920"/>
      <c r="Z3" s="920"/>
      <c r="AA3" s="920"/>
      <c r="AB3" s="921"/>
      <c r="AC3" s="956" t="s">
        <v>252</v>
      </c>
      <c r="AD3" s="957"/>
      <c r="AE3" s="957"/>
      <c r="AF3" s="957"/>
      <c r="AG3" s="957"/>
      <c r="AH3" s="957"/>
      <c r="AI3" s="957"/>
      <c r="AJ3" s="958"/>
      <c r="AK3" s="968" t="s">
        <v>259</v>
      </c>
      <c r="AL3" s="968" t="s">
        <v>258</v>
      </c>
      <c r="AM3" s="948" t="s">
        <v>260</v>
      </c>
      <c r="AN3" s="948"/>
      <c r="AO3" s="948"/>
      <c r="AP3" s="948"/>
      <c r="AQ3" s="949"/>
      <c r="AR3" s="950"/>
      <c r="AS3" s="240"/>
    </row>
    <row r="4" spans="1:45" s="242" customFormat="1" ht="18" customHeight="1">
      <c r="A4" s="931" t="s">
        <v>12</v>
      </c>
      <c r="B4" s="934" t="s">
        <v>229</v>
      </c>
      <c r="C4" s="935"/>
      <c r="D4" s="934" t="s">
        <v>230</v>
      </c>
      <c r="E4" s="935"/>
      <c r="F4" s="589"/>
      <c r="G4" s="940" t="s">
        <v>232</v>
      </c>
      <c r="H4" s="941"/>
      <c r="I4" s="941"/>
      <c r="J4" s="942"/>
      <c r="K4" s="940" t="s">
        <v>237</v>
      </c>
      <c r="L4" s="941"/>
      <c r="M4" s="941"/>
      <c r="N4" s="941"/>
      <c r="O4" s="941"/>
      <c r="P4" s="941"/>
      <c r="Q4" s="941"/>
      <c r="R4" s="941"/>
      <c r="S4" s="942"/>
      <c r="T4" s="926" t="s">
        <v>312</v>
      </c>
      <c r="U4" s="927"/>
      <c r="V4" s="927"/>
      <c r="W4" s="927"/>
      <c r="X4" s="927"/>
      <c r="Y4" s="928"/>
      <c r="Z4" s="962" t="s">
        <v>247</v>
      </c>
      <c r="AA4" s="963"/>
      <c r="AB4" s="964"/>
      <c r="AC4" s="959"/>
      <c r="AD4" s="960"/>
      <c r="AE4" s="960"/>
      <c r="AF4" s="960"/>
      <c r="AG4" s="960"/>
      <c r="AH4" s="960"/>
      <c r="AI4" s="960"/>
      <c r="AJ4" s="961"/>
      <c r="AK4" s="969"/>
      <c r="AL4" s="969"/>
      <c r="AM4" s="951"/>
      <c r="AN4" s="951"/>
      <c r="AO4" s="951"/>
      <c r="AP4" s="951"/>
      <c r="AQ4" s="926"/>
      <c r="AR4" s="952"/>
      <c r="AS4" s="243"/>
    </row>
    <row r="5" spans="1:45" s="242" customFormat="1" ht="16.5" customHeight="1">
      <c r="A5" s="932"/>
      <c r="B5" s="936"/>
      <c r="C5" s="937"/>
      <c r="D5" s="936"/>
      <c r="E5" s="937"/>
      <c r="F5" s="946" t="s">
        <v>231</v>
      </c>
      <c r="G5" s="943"/>
      <c r="H5" s="944"/>
      <c r="I5" s="944"/>
      <c r="J5" s="945"/>
      <c r="K5" s="943"/>
      <c r="L5" s="944"/>
      <c r="M5" s="944"/>
      <c r="N5" s="944"/>
      <c r="O5" s="944"/>
      <c r="P5" s="944"/>
      <c r="Q5" s="944"/>
      <c r="R5" s="944"/>
      <c r="S5" s="945"/>
      <c r="T5" s="926" t="s">
        <v>244</v>
      </c>
      <c r="U5" s="927"/>
      <c r="V5" s="928"/>
      <c r="W5" s="953" t="s">
        <v>245</v>
      </c>
      <c r="X5" s="954"/>
      <c r="Y5" s="955"/>
      <c r="Z5" s="965"/>
      <c r="AA5" s="966"/>
      <c r="AB5" s="967"/>
      <c r="AC5" s="971" t="s">
        <v>251</v>
      </c>
      <c r="AD5" s="971" t="s">
        <v>250</v>
      </c>
      <c r="AE5" s="926" t="s">
        <v>253</v>
      </c>
      <c r="AF5" s="927"/>
      <c r="AG5" s="928"/>
      <c r="AH5" s="926" t="s">
        <v>256</v>
      </c>
      <c r="AI5" s="927"/>
      <c r="AJ5" s="928"/>
      <c r="AK5" s="969"/>
      <c r="AL5" s="969"/>
      <c r="AM5" s="951"/>
      <c r="AN5" s="951"/>
      <c r="AO5" s="951"/>
      <c r="AP5" s="951"/>
      <c r="AQ5" s="926"/>
      <c r="AR5" s="952"/>
      <c r="AS5" s="243"/>
    </row>
    <row r="6" spans="1:45" s="244" customFormat="1" ht="38.25" customHeight="1">
      <c r="A6" s="933"/>
      <c r="B6" s="938"/>
      <c r="C6" s="939"/>
      <c r="D6" s="938"/>
      <c r="E6" s="939"/>
      <c r="F6" s="947"/>
      <c r="G6" s="748" t="s">
        <v>233</v>
      </c>
      <c r="H6" s="591" t="s">
        <v>234</v>
      </c>
      <c r="I6" s="591" t="s">
        <v>235</v>
      </c>
      <c r="J6" s="591" t="s">
        <v>236</v>
      </c>
      <c r="K6" s="591" t="s">
        <v>238</v>
      </c>
      <c r="L6" s="591" t="s">
        <v>239</v>
      </c>
      <c r="M6" s="591" t="s">
        <v>240</v>
      </c>
      <c r="N6" s="591" t="s">
        <v>241</v>
      </c>
      <c r="O6" s="591" t="s">
        <v>314</v>
      </c>
      <c r="P6" s="591" t="s">
        <v>315</v>
      </c>
      <c r="Q6" s="591" t="s">
        <v>242</v>
      </c>
      <c r="R6" s="591"/>
      <c r="S6" s="592" t="s">
        <v>243</v>
      </c>
      <c r="T6" s="591" t="s">
        <v>246</v>
      </c>
      <c r="U6" s="748" t="s">
        <v>313</v>
      </c>
      <c r="V6" s="592" t="s">
        <v>2</v>
      </c>
      <c r="W6" s="593" t="s">
        <v>246</v>
      </c>
      <c r="X6" s="592" t="s">
        <v>313</v>
      </c>
      <c r="Y6" s="592" t="s">
        <v>1</v>
      </c>
      <c r="Z6" s="748" t="s">
        <v>248</v>
      </c>
      <c r="AA6" s="748" t="s">
        <v>249</v>
      </c>
      <c r="AB6" s="748" t="s">
        <v>1</v>
      </c>
      <c r="AC6" s="972"/>
      <c r="AD6" s="972"/>
      <c r="AE6" s="748" t="s">
        <v>254</v>
      </c>
      <c r="AF6" s="748" t="s">
        <v>255</v>
      </c>
      <c r="AG6" s="748" t="s">
        <v>243</v>
      </c>
      <c r="AH6" s="748" t="s">
        <v>257</v>
      </c>
      <c r="AI6" s="748" t="s">
        <v>255</v>
      </c>
      <c r="AJ6" s="748" t="s">
        <v>243</v>
      </c>
      <c r="AK6" s="970"/>
      <c r="AL6" s="970"/>
      <c r="AM6" s="594" t="s">
        <v>261</v>
      </c>
      <c r="AN6" s="595" t="s">
        <v>152</v>
      </c>
      <c r="AO6" s="595" t="s">
        <v>204</v>
      </c>
      <c r="AP6" s="595" t="s">
        <v>205</v>
      </c>
      <c r="AQ6" s="590" t="s">
        <v>206</v>
      </c>
      <c r="AR6" s="749" t="s">
        <v>262</v>
      </c>
      <c r="AS6" s="245"/>
    </row>
    <row r="7" spans="1:45" s="249" customFormat="1" ht="12.75">
      <c r="A7" s="596" t="s">
        <v>5</v>
      </c>
      <c r="B7" s="597" t="s">
        <v>7</v>
      </c>
      <c r="C7" s="598" t="s">
        <v>8</v>
      </c>
      <c r="D7" s="599" t="s">
        <v>9</v>
      </c>
      <c r="E7" s="608" t="s">
        <v>10</v>
      </c>
      <c r="F7" s="601"/>
      <c r="G7" s="602">
        <v>1</v>
      </c>
      <c r="H7" s="602">
        <v>2</v>
      </c>
      <c r="I7" s="602">
        <v>3</v>
      </c>
      <c r="J7" s="602">
        <v>4</v>
      </c>
      <c r="K7" s="602">
        <v>5</v>
      </c>
      <c r="L7" s="602">
        <v>6</v>
      </c>
      <c r="M7" s="602">
        <v>7</v>
      </c>
      <c r="N7" s="602">
        <v>8</v>
      </c>
      <c r="O7" s="602">
        <v>9</v>
      </c>
      <c r="P7" s="602">
        <v>10</v>
      </c>
      <c r="Q7" s="602">
        <v>11</v>
      </c>
      <c r="R7" s="602">
        <v>12</v>
      </c>
      <c r="S7" s="602">
        <v>13</v>
      </c>
      <c r="T7" s="602">
        <v>14</v>
      </c>
      <c r="U7" s="602">
        <v>15</v>
      </c>
      <c r="V7" s="602">
        <v>16</v>
      </c>
      <c r="W7" s="602">
        <v>17</v>
      </c>
      <c r="X7" s="602">
        <v>18</v>
      </c>
      <c r="Y7" s="602">
        <v>19</v>
      </c>
      <c r="Z7" s="602">
        <v>20</v>
      </c>
      <c r="AA7" s="602">
        <v>21</v>
      </c>
      <c r="AB7" s="602">
        <v>22</v>
      </c>
      <c r="AC7" s="602">
        <v>23</v>
      </c>
      <c r="AD7" s="602">
        <v>24</v>
      </c>
      <c r="AE7" s="602">
        <v>25</v>
      </c>
      <c r="AF7" s="602">
        <v>26</v>
      </c>
      <c r="AG7" s="602">
        <v>27</v>
      </c>
      <c r="AH7" s="602">
        <v>28</v>
      </c>
      <c r="AI7" s="602">
        <v>29</v>
      </c>
      <c r="AJ7" s="602">
        <v>30</v>
      </c>
      <c r="AK7" s="602">
        <v>31</v>
      </c>
      <c r="AL7" s="602">
        <v>32</v>
      </c>
      <c r="AM7" s="602">
        <v>33</v>
      </c>
      <c r="AN7" s="602">
        <v>34</v>
      </c>
      <c r="AO7" s="602">
        <v>35</v>
      </c>
      <c r="AP7" s="602">
        <v>36</v>
      </c>
      <c r="AQ7" s="602">
        <v>37</v>
      </c>
      <c r="AR7" s="602">
        <v>38</v>
      </c>
      <c r="AS7" s="250"/>
    </row>
    <row r="8" spans="1:45" s="249" customFormat="1" ht="18.75" customHeight="1">
      <c r="A8" s="911" t="s">
        <v>263</v>
      </c>
      <c r="B8" s="912"/>
      <c r="C8" s="912"/>
      <c r="D8" s="912"/>
      <c r="E8" s="912"/>
      <c r="F8" s="912"/>
      <c r="G8" s="912"/>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3"/>
      <c r="AS8" s="250"/>
    </row>
    <row r="9" spans="1:45" s="242" customFormat="1" ht="54.75" customHeight="1">
      <c r="A9" s="929">
        <v>4</v>
      </c>
      <c r="B9" s="925">
        <v>4.1</v>
      </c>
      <c r="C9" s="924" t="s">
        <v>264</v>
      </c>
      <c r="D9" s="269" t="s">
        <v>27</v>
      </c>
      <c r="E9" s="609" t="s">
        <v>277</v>
      </c>
      <c r="F9" s="253"/>
      <c r="G9" s="270"/>
      <c r="H9" s="271"/>
      <c r="I9" s="271"/>
      <c r="J9" s="257">
        <f>G9*H9*I9</f>
        <v>0</v>
      </c>
      <c r="K9" s="272">
        <v>10</v>
      </c>
      <c r="L9" s="272">
        <v>2</v>
      </c>
      <c r="M9" s="272">
        <v>20</v>
      </c>
      <c r="N9" s="272">
        <v>300</v>
      </c>
      <c r="O9" s="272">
        <v>25</v>
      </c>
      <c r="P9" s="272"/>
      <c r="Q9" s="272">
        <v>20</v>
      </c>
      <c r="R9" s="272"/>
      <c r="S9" s="258">
        <f>(K9*L9*N9)+(K9*L9*M9*O9)+(K9*L9*M9*P9)+(K9*M9*Q9)+(K9*L9*R9)</f>
        <v>20000</v>
      </c>
      <c r="T9" s="273">
        <v>500</v>
      </c>
      <c r="U9" s="273">
        <v>350</v>
      </c>
      <c r="V9" s="259">
        <f>T9*U9</f>
        <v>175000</v>
      </c>
      <c r="W9" s="274">
        <v>700</v>
      </c>
      <c r="X9" s="274">
        <v>1200</v>
      </c>
      <c r="Y9" s="259">
        <f>W9*X9</f>
        <v>840000</v>
      </c>
      <c r="Z9" s="275"/>
      <c r="AA9" s="275"/>
      <c r="AB9" s="260">
        <f>Z9*AA9</f>
        <v>0</v>
      </c>
      <c r="AC9" s="260"/>
      <c r="AD9" s="260"/>
      <c r="AE9" s="419"/>
      <c r="AF9" s="419"/>
      <c r="AG9" s="260">
        <f>AE9*AF9</f>
        <v>0</v>
      </c>
      <c r="AH9" s="256"/>
      <c r="AI9" s="256"/>
      <c r="AJ9" s="260">
        <f>AH9*AI9</f>
        <v>0</v>
      </c>
      <c r="AK9" s="259">
        <v>200000</v>
      </c>
      <c r="AL9" s="259">
        <f aca="true" t="shared" si="0" ref="AL9:AL14">J9+S9+V9+Y9+AB9+AG9+AJ9+AK9+AC9+AD9</f>
        <v>1235000</v>
      </c>
      <c r="AM9" s="415"/>
      <c r="AN9" s="276"/>
      <c r="AO9" s="276"/>
      <c r="AP9" s="276"/>
      <c r="AQ9" s="276"/>
      <c r="AR9" s="262">
        <f aca="true" t="shared" si="1" ref="AR9:AR14">AL9-AM9-AN9-AO9-AP9-AQ9</f>
        <v>1235000</v>
      </c>
      <c r="AS9" s="243"/>
    </row>
    <row r="10" spans="1:45" s="242" customFormat="1" ht="54.75" customHeight="1">
      <c r="A10" s="930"/>
      <c r="B10" s="925"/>
      <c r="C10" s="924"/>
      <c r="D10" s="269" t="s">
        <v>58</v>
      </c>
      <c r="E10" s="269" t="s">
        <v>278</v>
      </c>
      <c r="F10" s="253"/>
      <c r="G10" s="270"/>
      <c r="H10" s="271"/>
      <c r="I10" s="271"/>
      <c r="J10" s="257"/>
      <c r="K10" s="272"/>
      <c r="L10" s="272"/>
      <c r="M10" s="272"/>
      <c r="N10" s="272"/>
      <c r="O10" s="272"/>
      <c r="P10" s="272"/>
      <c r="Q10" s="272"/>
      <c r="R10" s="272"/>
      <c r="S10" s="258"/>
      <c r="T10" s="273"/>
      <c r="U10" s="273"/>
      <c r="V10" s="259">
        <v>50000</v>
      </c>
      <c r="W10" s="274"/>
      <c r="X10" s="274"/>
      <c r="Y10" s="259"/>
      <c r="Z10" s="275"/>
      <c r="AA10" s="275"/>
      <c r="AB10" s="260"/>
      <c r="AC10" s="260"/>
      <c r="AD10" s="260"/>
      <c r="AE10" s="419"/>
      <c r="AF10" s="419"/>
      <c r="AG10" s="260"/>
      <c r="AH10" s="256"/>
      <c r="AI10" s="256"/>
      <c r="AJ10" s="260"/>
      <c r="AK10" s="259"/>
      <c r="AL10" s="259">
        <f t="shared" si="0"/>
        <v>50000</v>
      </c>
      <c r="AM10" s="415"/>
      <c r="AN10" s="276"/>
      <c r="AO10" s="276"/>
      <c r="AP10" s="276"/>
      <c r="AQ10" s="276"/>
      <c r="AR10" s="262">
        <f t="shared" si="1"/>
        <v>50000</v>
      </c>
      <c r="AS10" s="243"/>
    </row>
    <row r="11" spans="1:45" s="294" customFormat="1" ht="43.5" customHeight="1">
      <c r="A11" s="930"/>
      <c r="B11" s="925"/>
      <c r="C11" s="924"/>
      <c r="D11" s="269" t="s">
        <v>143</v>
      </c>
      <c r="E11" s="269" t="s">
        <v>279</v>
      </c>
      <c r="F11" s="253"/>
      <c r="G11" s="270"/>
      <c r="H11" s="287"/>
      <c r="I11" s="287"/>
      <c r="J11" s="257">
        <f>G11*H11*I11</f>
        <v>0</v>
      </c>
      <c r="K11" s="272">
        <v>15</v>
      </c>
      <c r="L11" s="272">
        <v>5</v>
      </c>
      <c r="M11" s="288">
        <v>15</v>
      </c>
      <c r="N11" s="289">
        <v>300</v>
      </c>
      <c r="O11" s="289">
        <v>25</v>
      </c>
      <c r="P11" s="289"/>
      <c r="Q11" s="289">
        <v>20</v>
      </c>
      <c r="R11" s="289"/>
      <c r="S11" s="258">
        <f>(K11*L11*N11)+(K11*L11*M11*O11)+(K11*L11*M11*P11)+(K11*M11*Q11)+(K11*L11*R11)</f>
        <v>55125</v>
      </c>
      <c r="T11" s="290">
        <v>150</v>
      </c>
      <c r="U11" s="290">
        <v>350</v>
      </c>
      <c r="V11" s="259">
        <f>T11*U11</f>
        <v>52500</v>
      </c>
      <c r="W11" s="291">
        <v>320</v>
      </c>
      <c r="X11" s="291">
        <v>1200</v>
      </c>
      <c r="Y11" s="259">
        <f>W11*X11</f>
        <v>384000</v>
      </c>
      <c r="Z11" s="292"/>
      <c r="AA11" s="292"/>
      <c r="AB11" s="260">
        <f>Z11*AA11</f>
        <v>0</v>
      </c>
      <c r="AC11" s="587"/>
      <c r="AD11" s="587"/>
      <c r="AE11" s="586"/>
      <c r="AF11" s="586"/>
      <c r="AG11" s="260">
        <f>AE11*AF11</f>
        <v>0</v>
      </c>
      <c r="AH11" s="256"/>
      <c r="AI11" s="256"/>
      <c r="AJ11" s="260">
        <f>AH11*AI11</f>
        <v>0</v>
      </c>
      <c r="AK11" s="293">
        <v>50000</v>
      </c>
      <c r="AL11" s="259">
        <f t="shared" si="0"/>
        <v>541625</v>
      </c>
      <c r="AM11" s="415"/>
      <c r="AN11" s="276"/>
      <c r="AO11" s="276">
        <v>50000</v>
      </c>
      <c r="AP11" s="276"/>
      <c r="AQ11" s="276"/>
      <c r="AR11" s="262">
        <f t="shared" si="1"/>
        <v>491625</v>
      </c>
      <c r="AS11" s="295"/>
    </row>
    <row r="12" spans="1:45" s="263" customFormat="1" ht="54" customHeight="1">
      <c r="A12" s="930"/>
      <c r="B12" s="925"/>
      <c r="C12" s="924"/>
      <c r="D12" s="269" t="s">
        <v>203</v>
      </c>
      <c r="E12" s="269" t="s">
        <v>280</v>
      </c>
      <c r="F12" s="253" t="s">
        <v>281</v>
      </c>
      <c r="G12" s="270"/>
      <c r="H12" s="287"/>
      <c r="I12" s="287"/>
      <c r="J12" s="257">
        <f>G12*H12*I12</f>
        <v>0</v>
      </c>
      <c r="K12" s="272"/>
      <c r="L12" s="272"/>
      <c r="M12" s="288"/>
      <c r="N12" s="297"/>
      <c r="O12" s="297"/>
      <c r="P12" s="297"/>
      <c r="Q12" s="297"/>
      <c r="R12" s="297"/>
      <c r="S12" s="258">
        <f>(K12*L12*N12)+(K12*L12*M12*O12)+(K12*L12*M12*P12)+(K12*M12*Q12)+(K12*L12*R12)</f>
        <v>0</v>
      </c>
      <c r="T12" s="298"/>
      <c r="U12" s="298"/>
      <c r="V12" s="259">
        <v>50000</v>
      </c>
      <c r="W12" s="299"/>
      <c r="X12" s="299"/>
      <c r="Y12" s="259">
        <v>100000</v>
      </c>
      <c r="Z12" s="292"/>
      <c r="AA12" s="292"/>
      <c r="AB12" s="260">
        <f>Z12*AA12</f>
        <v>0</v>
      </c>
      <c r="AC12" s="587"/>
      <c r="AD12" s="587">
        <v>150000</v>
      </c>
      <c r="AE12" s="586"/>
      <c r="AF12" s="586"/>
      <c r="AG12" s="260">
        <v>200000</v>
      </c>
      <c r="AH12" s="256"/>
      <c r="AI12" s="256"/>
      <c r="AJ12" s="260">
        <f>AH12*AI12</f>
        <v>0</v>
      </c>
      <c r="AK12" s="293"/>
      <c r="AL12" s="259">
        <f t="shared" si="0"/>
        <v>500000</v>
      </c>
      <c r="AM12" s="415"/>
      <c r="AN12" s="276">
        <v>500000</v>
      </c>
      <c r="AO12" s="276"/>
      <c r="AP12" s="276"/>
      <c r="AQ12" s="276"/>
      <c r="AR12" s="262">
        <f t="shared" si="1"/>
        <v>0</v>
      </c>
      <c r="AS12" s="265"/>
    </row>
    <row r="13" spans="1:45" s="263" customFormat="1" ht="34.5" customHeight="1">
      <c r="A13" s="930"/>
      <c r="B13" s="925">
        <v>4.2</v>
      </c>
      <c r="C13" s="924" t="s">
        <v>265</v>
      </c>
      <c r="D13" s="254" t="s">
        <v>28</v>
      </c>
      <c r="E13" s="269" t="s">
        <v>282</v>
      </c>
      <c r="F13" s="255"/>
      <c r="G13" s="270"/>
      <c r="H13" s="287"/>
      <c r="I13" s="287"/>
      <c r="J13" s="257">
        <f>G13*H13*I13</f>
        <v>0</v>
      </c>
      <c r="K13" s="256"/>
      <c r="L13" s="256"/>
      <c r="M13" s="256"/>
      <c r="N13" s="256"/>
      <c r="O13" s="256"/>
      <c r="P13" s="256"/>
      <c r="Q13" s="256"/>
      <c r="R13" s="256"/>
      <c r="S13" s="258">
        <f>(K13*L13*N13)+(K13*L13*M13*O13)+(K13*L13*M13*P13)+(K13*M13*Q13)+(K13*L13*R13)</f>
        <v>0</v>
      </c>
      <c r="T13" s="256"/>
      <c r="U13" s="256"/>
      <c r="V13" s="259">
        <f>T13*U13</f>
        <v>0</v>
      </c>
      <c r="W13" s="256"/>
      <c r="X13" s="256"/>
      <c r="Y13" s="259">
        <f>W13*X13</f>
        <v>0</v>
      </c>
      <c r="Z13" s="256"/>
      <c r="AA13" s="256"/>
      <c r="AB13" s="260">
        <f>Z13*AA13</f>
        <v>0</v>
      </c>
      <c r="AC13" s="261"/>
      <c r="AD13" s="261"/>
      <c r="AE13" s="256"/>
      <c r="AF13" s="256"/>
      <c r="AG13" s="260">
        <f>AE13*AF13</f>
        <v>0</v>
      </c>
      <c r="AH13" s="256"/>
      <c r="AI13" s="256"/>
      <c r="AJ13" s="260">
        <f>AH13*AI13</f>
        <v>0</v>
      </c>
      <c r="AK13" s="266">
        <v>40000</v>
      </c>
      <c r="AL13" s="259">
        <f t="shared" si="0"/>
        <v>40000</v>
      </c>
      <c r="AM13" s="416">
        <v>40000</v>
      </c>
      <c r="AN13" s="256"/>
      <c r="AO13" s="256"/>
      <c r="AP13" s="256"/>
      <c r="AQ13" s="256"/>
      <c r="AR13" s="262">
        <f t="shared" si="1"/>
        <v>0</v>
      </c>
      <c r="AS13" s="265"/>
    </row>
    <row r="14" spans="1:45" s="263" customFormat="1" ht="47.25" customHeight="1">
      <c r="A14" s="930"/>
      <c r="B14" s="925"/>
      <c r="C14" s="924"/>
      <c r="D14" s="254" t="s">
        <v>29</v>
      </c>
      <c r="E14" s="269" t="s">
        <v>283</v>
      </c>
      <c r="F14" s="255"/>
      <c r="G14" s="270"/>
      <c r="H14" s="287"/>
      <c r="I14" s="287"/>
      <c r="J14" s="257">
        <f>G14*H14*I14</f>
        <v>0</v>
      </c>
      <c r="K14" s="256"/>
      <c r="L14" s="256"/>
      <c r="M14" s="256"/>
      <c r="N14" s="256"/>
      <c r="O14" s="256"/>
      <c r="P14" s="256"/>
      <c r="Q14" s="256"/>
      <c r="R14" s="256"/>
      <c r="S14" s="258">
        <f>(K14*L14*N14)+(K14*L14*M14*O14)+(K14*L14*M14*P14)+(K14*M14*Q14)+(K14*L14*R14)</f>
        <v>0</v>
      </c>
      <c r="T14" s="256"/>
      <c r="U14" s="256"/>
      <c r="V14" s="259">
        <f>T14*U14</f>
        <v>0</v>
      </c>
      <c r="W14" s="256"/>
      <c r="X14" s="256"/>
      <c r="Y14" s="259">
        <f>W14*X14</f>
        <v>0</v>
      </c>
      <c r="Z14" s="256"/>
      <c r="AA14" s="256"/>
      <c r="AB14" s="260">
        <f>Z14*AA14</f>
        <v>0</v>
      </c>
      <c r="AC14" s="261"/>
      <c r="AD14" s="261"/>
      <c r="AE14" s="256"/>
      <c r="AF14" s="256"/>
      <c r="AG14" s="260">
        <f>AE14*AF14</f>
        <v>0</v>
      </c>
      <c r="AH14" s="256"/>
      <c r="AI14" s="256"/>
      <c r="AJ14" s="260">
        <f>AH14*AI14</f>
        <v>0</v>
      </c>
      <c r="AK14" s="261">
        <v>30000</v>
      </c>
      <c r="AL14" s="259">
        <f t="shared" si="0"/>
        <v>30000</v>
      </c>
      <c r="AM14" s="416">
        <v>30000</v>
      </c>
      <c r="AN14" s="256"/>
      <c r="AO14" s="256"/>
      <c r="AP14" s="256"/>
      <c r="AQ14" s="256"/>
      <c r="AR14" s="262">
        <f t="shared" si="1"/>
        <v>0</v>
      </c>
      <c r="AS14" s="265"/>
    </row>
    <row r="15" spans="1:45" s="263" customFormat="1" ht="16.5" customHeight="1">
      <c r="A15" s="424"/>
      <c r="B15" s="425"/>
      <c r="C15" s="426"/>
      <c r="D15" s="427"/>
      <c r="E15" s="610"/>
      <c r="F15" s="428"/>
      <c r="G15" s="429"/>
      <c r="H15" s="429"/>
      <c r="I15" s="429"/>
      <c r="J15" s="430"/>
      <c r="K15" s="429"/>
      <c r="L15" s="429"/>
      <c r="M15" s="429"/>
      <c r="N15" s="429"/>
      <c r="O15" s="429"/>
      <c r="P15" s="429"/>
      <c r="Q15" s="429"/>
      <c r="R15" s="429"/>
      <c r="S15" s="431">
        <f>SUM(S9:S14)</f>
        <v>75125</v>
      </c>
      <c r="T15" s="431"/>
      <c r="U15" s="431"/>
      <c r="V15" s="431">
        <f aca="true" t="shared" si="2" ref="V15:AR15">SUM(V9:V14)</f>
        <v>327500</v>
      </c>
      <c r="W15" s="431"/>
      <c r="X15" s="431"/>
      <c r="Y15" s="431">
        <f t="shared" si="2"/>
        <v>1324000</v>
      </c>
      <c r="Z15" s="431">
        <f t="shared" si="2"/>
        <v>0</v>
      </c>
      <c r="AA15" s="431">
        <f t="shared" si="2"/>
        <v>0</v>
      </c>
      <c r="AB15" s="431">
        <f t="shared" si="2"/>
        <v>0</v>
      </c>
      <c r="AC15" s="431">
        <f t="shared" si="2"/>
        <v>0</v>
      </c>
      <c r="AD15" s="431">
        <f t="shared" si="2"/>
        <v>150000</v>
      </c>
      <c r="AE15" s="431">
        <f t="shared" si="2"/>
        <v>0</v>
      </c>
      <c r="AF15" s="431">
        <f t="shared" si="2"/>
        <v>0</v>
      </c>
      <c r="AG15" s="431">
        <f t="shared" si="2"/>
        <v>200000</v>
      </c>
      <c r="AH15" s="431">
        <f t="shared" si="2"/>
        <v>0</v>
      </c>
      <c r="AI15" s="431">
        <f t="shared" si="2"/>
        <v>0</v>
      </c>
      <c r="AJ15" s="431">
        <f t="shared" si="2"/>
        <v>0</v>
      </c>
      <c r="AK15" s="431">
        <f t="shared" si="2"/>
        <v>320000</v>
      </c>
      <c r="AL15" s="431">
        <f t="shared" si="2"/>
        <v>2396625</v>
      </c>
      <c r="AM15" s="431">
        <f t="shared" si="2"/>
        <v>70000</v>
      </c>
      <c r="AN15" s="431">
        <f t="shared" si="2"/>
        <v>500000</v>
      </c>
      <c r="AO15" s="431">
        <f t="shared" si="2"/>
        <v>50000</v>
      </c>
      <c r="AP15" s="431">
        <f t="shared" si="2"/>
        <v>0</v>
      </c>
      <c r="AQ15" s="431">
        <f t="shared" si="2"/>
        <v>0</v>
      </c>
      <c r="AR15" s="431">
        <f t="shared" si="2"/>
        <v>1776625</v>
      </c>
      <c r="AS15" s="265"/>
    </row>
    <row r="16" spans="1:45" s="249" customFormat="1" ht="21.75" customHeight="1">
      <c r="A16" s="911" t="s">
        <v>266</v>
      </c>
      <c r="B16" s="912"/>
      <c r="C16" s="912"/>
      <c r="D16" s="912"/>
      <c r="E16" s="912"/>
      <c r="F16" s="912"/>
      <c r="G16" s="912"/>
      <c r="H16" s="912"/>
      <c r="I16" s="912"/>
      <c r="J16" s="912"/>
      <c r="K16" s="912"/>
      <c r="L16" s="912"/>
      <c r="M16" s="912"/>
      <c r="N16" s="912"/>
      <c r="O16" s="912"/>
      <c r="P16" s="912"/>
      <c r="Q16" s="912"/>
      <c r="R16" s="912"/>
      <c r="S16" s="912"/>
      <c r="T16" s="912"/>
      <c r="U16" s="912"/>
      <c r="V16" s="912"/>
      <c r="W16" s="912"/>
      <c r="X16" s="912"/>
      <c r="Y16" s="912"/>
      <c r="Z16" s="912"/>
      <c r="AA16" s="912"/>
      <c r="AB16" s="912"/>
      <c r="AC16" s="912"/>
      <c r="AD16" s="912"/>
      <c r="AE16" s="912"/>
      <c r="AF16" s="912"/>
      <c r="AG16" s="912"/>
      <c r="AH16" s="912"/>
      <c r="AI16" s="912"/>
      <c r="AJ16" s="912"/>
      <c r="AK16" s="912"/>
      <c r="AL16" s="912"/>
      <c r="AM16" s="912"/>
      <c r="AN16" s="912"/>
      <c r="AO16" s="912"/>
      <c r="AP16" s="912"/>
      <c r="AQ16" s="912"/>
      <c r="AR16" s="913"/>
      <c r="AS16" s="250"/>
    </row>
    <row r="17" spans="1:46" s="294" customFormat="1" ht="62.25" customHeight="1">
      <c r="A17" s="335"/>
      <c r="B17" s="606">
        <v>6.1</v>
      </c>
      <c r="C17" s="334" t="s">
        <v>267</v>
      </c>
      <c r="D17" s="269" t="s">
        <v>197</v>
      </c>
      <c r="E17" s="269" t="s">
        <v>285</v>
      </c>
      <c r="F17" s="253" t="s">
        <v>284</v>
      </c>
      <c r="G17" s="270"/>
      <c r="H17" s="287"/>
      <c r="I17" s="287"/>
      <c r="J17" s="257"/>
      <c r="K17" s="272"/>
      <c r="L17" s="272"/>
      <c r="M17" s="288"/>
      <c r="N17" s="297"/>
      <c r="O17" s="297"/>
      <c r="P17" s="297"/>
      <c r="Q17" s="297"/>
      <c r="R17" s="297"/>
      <c r="S17" s="258"/>
      <c r="T17" s="298"/>
      <c r="U17" s="298"/>
      <c r="V17" s="259"/>
      <c r="W17" s="299"/>
      <c r="X17" s="299"/>
      <c r="Y17" s="259"/>
      <c r="Z17" s="292"/>
      <c r="AA17" s="292"/>
      <c r="AB17" s="260"/>
      <c r="AC17" s="587"/>
      <c r="AD17" s="587"/>
      <c r="AE17" s="586"/>
      <c r="AF17" s="586"/>
      <c r="AG17" s="260"/>
      <c r="AH17" s="586"/>
      <c r="AI17" s="586"/>
      <c r="AJ17" s="260"/>
      <c r="AK17" s="293">
        <v>50000</v>
      </c>
      <c r="AL17" s="259">
        <v>50000</v>
      </c>
      <c r="AM17" s="415">
        <v>50000</v>
      </c>
      <c r="AN17" s="276"/>
      <c r="AO17" s="276"/>
      <c r="AP17" s="276"/>
      <c r="AQ17" s="276"/>
      <c r="AR17" s="262">
        <f>AL17-AM17-AN17-AO17-AP17-AQ17</f>
        <v>0</v>
      </c>
      <c r="AS17" s="300"/>
      <c r="AT17" s="301"/>
    </row>
    <row r="18" spans="1:44" ht="40.5" customHeight="1">
      <c r="A18" s="903">
        <v>6</v>
      </c>
      <c r="B18" s="903">
        <v>6.2</v>
      </c>
      <c r="C18" s="908" t="s">
        <v>268</v>
      </c>
      <c r="D18" s="269" t="s">
        <v>176</v>
      </c>
      <c r="E18" s="269" t="s">
        <v>286</v>
      </c>
      <c r="F18" s="253" t="s">
        <v>287</v>
      </c>
      <c r="G18" s="270"/>
      <c r="H18" s="271"/>
      <c r="I18" s="271"/>
      <c r="J18" s="257">
        <f>G18*H18*I18</f>
        <v>0</v>
      </c>
      <c r="K18" s="272"/>
      <c r="L18" s="272"/>
      <c r="M18" s="272"/>
      <c r="N18" s="272"/>
      <c r="O18" s="272"/>
      <c r="P18" s="272"/>
      <c r="Q18" s="272"/>
      <c r="R18" s="272"/>
      <c r="S18" s="258">
        <f>(K18*L18*N18)+(K18*L18*M18*O18)+(K18*L18*M18*P18)+(K18*M18*Q18)+(K18*L18*R18)</f>
        <v>0</v>
      </c>
      <c r="T18" s="273"/>
      <c r="U18" s="273"/>
      <c r="V18" s="259">
        <f>T18*U18</f>
        <v>0</v>
      </c>
      <c r="W18" s="274"/>
      <c r="X18" s="274"/>
      <c r="Y18" s="259">
        <f>W18*X18</f>
        <v>0</v>
      </c>
      <c r="Z18" s="275"/>
      <c r="AA18" s="275"/>
      <c r="AB18" s="260">
        <f aca="true" t="shared" si="3" ref="AB18:AB35">Z18*AA18</f>
        <v>0</v>
      </c>
      <c r="AC18" s="260"/>
      <c r="AD18" s="260"/>
      <c r="AE18" s="419"/>
      <c r="AF18" s="419"/>
      <c r="AG18" s="260">
        <f>AE18*AF18</f>
        <v>0</v>
      </c>
      <c r="AH18" s="419"/>
      <c r="AI18" s="419"/>
      <c r="AJ18" s="260">
        <f>AH18*AI18</f>
        <v>0</v>
      </c>
      <c r="AK18" s="259">
        <v>60000</v>
      </c>
      <c r="AL18" s="259">
        <v>60000</v>
      </c>
      <c r="AM18" s="415">
        <v>60000</v>
      </c>
      <c r="AN18" s="276"/>
      <c r="AO18" s="276"/>
      <c r="AP18" s="276"/>
      <c r="AQ18" s="276"/>
      <c r="AR18" s="262">
        <f aca="true" t="shared" si="4" ref="AR18:AR36">AL18-AM18-AN18-AO18-AP18-AQ18</f>
        <v>0</v>
      </c>
    </row>
    <row r="19" spans="1:44" ht="35.25" customHeight="1">
      <c r="A19" s="904"/>
      <c r="B19" s="904"/>
      <c r="C19" s="909"/>
      <c r="D19" s="269" t="s">
        <v>177</v>
      </c>
      <c r="E19" s="269" t="s">
        <v>288</v>
      </c>
      <c r="F19" s="503"/>
      <c r="G19" s="270"/>
      <c r="H19" s="271"/>
      <c r="I19" s="271"/>
      <c r="J19" s="257">
        <f>G19*H19*I19</f>
        <v>0</v>
      </c>
      <c r="K19" s="272">
        <v>2</v>
      </c>
      <c r="L19" s="272">
        <v>1</v>
      </c>
      <c r="M19" s="272">
        <v>20</v>
      </c>
      <c r="N19" s="272">
        <v>300</v>
      </c>
      <c r="O19" s="272">
        <v>25</v>
      </c>
      <c r="P19" s="272"/>
      <c r="Q19" s="272">
        <v>20</v>
      </c>
      <c r="R19" s="272"/>
      <c r="S19" s="258">
        <f>(K19*L19*N19)+(K19*L19*M19*O19)+(K19*L19*M19*P19)+(K19*M19*Q19)+(K19*L19*R19)</f>
        <v>2400</v>
      </c>
      <c r="T19" s="273">
        <v>50</v>
      </c>
      <c r="U19" s="273">
        <v>350</v>
      </c>
      <c r="V19" s="259">
        <f>T19*U19</f>
        <v>17500</v>
      </c>
      <c r="W19" s="274"/>
      <c r="X19" s="274"/>
      <c r="Y19" s="259">
        <f>W19*X19</f>
        <v>0</v>
      </c>
      <c r="Z19" s="275"/>
      <c r="AA19" s="275"/>
      <c r="AB19" s="260">
        <f t="shared" si="3"/>
        <v>0</v>
      </c>
      <c r="AC19" s="260"/>
      <c r="AD19" s="260"/>
      <c r="AE19" s="419"/>
      <c r="AF19" s="419"/>
      <c r="AG19" s="260">
        <f>AE19*AF19</f>
        <v>0</v>
      </c>
      <c r="AH19" s="419"/>
      <c r="AI19" s="419"/>
      <c r="AJ19" s="260">
        <f>AH19*AI19</f>
        <v>0</v>
      </c>
      <c r="AK19" s="259"/>
      <c r="AL19" s="259">
        <f aca="true" t="shared" si="5" ref="AL19:AL35">J19+S19+V19+Y19+AB19+AG19+AJ19+AK19+AC19+AD19</f>
        <v>19900</v>
      </c>
      <c r="AM19" s="415"/>
      <c r="AN19" s="276"/>
      <c r="AO19" s="276"/>
      <c r="AP19" s="276"/>
      <c r="AQ19" s="276"/>
      <c r="AR19" s="262">
        <f t="shared" si="4"/>
        <v>19900</v>
      </c>
    </row>
    <row r="20" spans="1:44" ht="43.5" customHeight="1">
      <c r="A20" s="904"/>
      <c r="B20" s="905"/>
      <c r="C20" s="910"/>
      <c r="D20" s="269" t="s">
        <v>196</v>
      </c>
      <c r="E20" s="269" t="s">
        <v>290</v>
      </c>
      <c r="F20" s="253" t="s">
        <v>289</v>
      </c>
      <c r="G20" s="270"/>
      <c r="H20" s="271"/>
      <c r="I20" s="271"/>
      <c r="J20" s="257">
        <f>G20*H20*I20</f>
        <v>0</v>
      </c>
      <c r="K20" s="272"/>
      <c r="L20" s="272"/>
      <c r="M20" s="272"/>
      <c r="N20" s="272"/>
      <c r="O20" s="272"/>
      <c r="P20" s="272"/>
      <c r="Q20" s="272"/>
      <c r="R20" s="272"/>
      <c r="S20" s="258">
        <f>(K20*L20*N20)+(K20*L20*M20*O20)+(K20*L20*M20*P20)+(K20*M20*Q20)+(K20*L20*R20)</f>
        <v>0</v>
      </c>
      <c r="T20" s="273"/>
      <c r="U20" s="273"/>
      <c r="V20" s="259">
        <f>T20*U20</f>
        <v>0</v>
      </c>
      <c r="W20" s="274"/>
      <c r="X20" s="274"/>
      <c r="Y20" s="259">
        <f>W20*X20</f>
        <v>0</v>
      </c>
      <c r="Z20" s="275"/>
      <c r="AA20" s="275"/>
      <c r="AB20" s="260">
        <f t="shared" si="3"/>
        <v>0</v>
      </c>
      <c r="AC20" s="260"/>
      <c r="AD20" s="260"/>
      <c r="AE20" s="419"/>
      <c r="AF20" s="419"/>
      <c r="AG20" s="260">
        <f>AE20*AF20</f>
        <v>0</v>
      </c>
      <c r="AH20" s="419"/>
      <c r="AI20" s="419"/>
      <c r="AJ20" s="260">
        <f>AH20*AI20</f>
        <v>0</v>
      </c>
      <c r="AK20" s="259"/>
      <c r="AL20" s="259">
        <f t="shared" si="5"/>
        <v>0</v>
      </c>
      <c r="AM20" s="415"/>
      <c r="AN20" s="276"/>
      <c r="AO20" s="276"/>
      <c r="AP20" s="276"/>
      <c r="AQ20" s="276"/>
      <c r="AR20" s="262">
        <f t="shared" si="4"/>
        <v>0</v>
      </c>
    </row>
    <row r="21" spans="1:44" ht="42" customHeight="1">
      <c r="A21" s="904"/>
      <c r="B21" s="209">
        <v>6.3</v>
      </c>
      <c r="C21" s="253" t="s">
        <v>269</v>
      </c>
      <c r="D21" s="269" t="s">
        <v>180</v>
      </c>
      <c r="E21" s="269" t="s">
        <v>291</v>
      </c>
      <c r="F21" s="253"/>
      <c r="G21" s="270"/>
      <c r="H21" s="271"/>
      <c r="I21" s="271"/>
      <c r="J21" s="257">
        <f>G21*H21*I21</f>
        <v>0</v>
      </c>
      <c r="K21" s="272"/>
      <c r="L21" s="272"/>
      <c r="M21" s="272"/>
      <c r="N21" s="272"/>
      <c r="O21" s="272"/>
      <c r="P21" s="272"/>
      <c r="Q21" s="272"/>
      <c r="R21" s="272"/>
      <c r="S21" s="258">
        <f>(K21*L21*N21)+(K21*L21*M21*O21)+(K21*L21*M21*P21)+(K21*M21*Q21)+(K21*L21*R21)</f>
        <v>0</v>
      </c>
      <c r="T21" s="273"/>
      <c r="U21" s="273"/>
      <c r="V21" s="259">
        <f>T21*U21</f>
        <v>0</v>
      </c>
      <c r="W21" s="274"/>
      <c r="X21" s="274"/>
      <c r="Y21" s="259">
        <f>W21*X21</f>
        <v>0</v>
      </c>
      <c r="Z21" s="275"/>
      <c r="AA21" s="275"/>
      <c r="AB21" s="260">
        <f t="shared" si="3"/>
        <v>0</v>
      </c>
      <c r="AC21" s="260"/>
      <c r="AD21" s="260"/>
      <c r="AE21" s="419"/>
      <c r="AF21" s="419"/>
      <c r="AG21" s="260">
        <f>AE21*AF21</f>
        <v>0</v>
      </c>
      <c r="AH21" s="419"/>
      <c r="AI21" s="419"/>
      <c r="AJ21" s="260">
        <f>AH21*AI21</f>
        <v>0</v>
      </c>
      <c r="AK21" s="259"/>
      <c r="AL21" s="259">
        <f t="shared" si="5"/>
        <v>0</v>
      </c>
      <c r="AM21" s="415"/>
      <c r="AN21" s="276"/>
      <c r="AO21" s="276"/>
      <c r="AP21" s="276"/>
      <c r="AQ21" s="276"/>
      <c r="AR21" s="262">
        <f t="shared" si="4"/>
        <v>0</v>
      </c>
    </row>
    <row r="22" spans="1:44" ht="63" customHeight="1">
      <c r="A22" s="904"/>
      <c r="B22" s="903">
        <v>6.4</v>
      </c>
      <c r="C22" s="922" t="s">
        <v>316</v>
      </c>
      <c r="D22" s="269" t="s">
        <v>179</v>
      </c>
      <c r="E22" s="269" t="s">
        <v>292</v>
      </c>
      <c r="F22" s="253"/>
      <c r="G22" s="270"/>
      <c r="H22" s="271"/>
      <c r="I22" s="271"/>
      <c r="J22" s="257"/>
      <c r="K22" s="272"/>
      <c r="L22" s="272"/>
      <c r="M22" s="272"/>
      <c r="N22" s="272"/>
      <c r="O22" s="272"/>
      <c r="P22" s="272"/>
      <c r="Q22" s="272"/>
      <c r="R22" s="272"/>
      <c r="S22" s="258"/>
      <c r="T22" s="273"/>
      <c r="U22" s="273"/>
      <c r="V22" s="259"/>
      <c r="W22" s="274"/>
      <c r="X22" s="274"/>
      <c r="Y22" s="259">
        <v>300000</v>
      </c>
      <c r="Z22" s="275"/>
      <c r="AA22" s="275"/>
      <c r="AB22" s="260">
        <f t="shared" si="3"/>
        <v>0</v>
      </c>
      <c r="AC22" s="260"/>
      <c r="AD22" s="260"/>
      <c r="AE22" s="419"/>
      <c r="AF22" s="419"/>
      <c r="AG22" s="260"/>
      <c r="AH22" s="419"/>
      <c r="AI22" s="419"/>
      <c r="AJ22" s="260"/>
      <c r="AK22" s="259"/>
      <c r="AL22" s="259">
        <f t="shared" si="5"/>
        <v>300000</v>
      </c>
      <c r="AM22" s="415"/>
      <c r="AN22" s="276">
        <f>AL22</f>
        <v>300000</v>
      </c>
      <c r="AO22" s="276"/>
      <c r="AP22" s="276"/>
      <c r="AQ22" s="276"/>
      <c r="AR22" s="262">
        <f t="shared" si="4"/>
        <v>0</v>
      </c>
    </row>
    <row r="23" spans="1:44" ht="33" customHeight="1">
      <c r="A23" s="904"/>
      <c r="B23" s="905"/>
      <c r="C23" s="923"/>
      <c r="D23" s="269" t="s">
        <v>178</v>
      </c>
      <c r="E23" s="269" t="s">
        <v>293</v>
      </c>
      <c r="F23" s="253"/>
      <c r="G23" s="270"/>
      <c r="H23" s="271"/>
      <c r="I23" s="271"/>
      <c r="J23" s="257">
        <f aca="true" t="shared" si="6" ref="J23:J35">G23*H23*I23</f>
        <v>0</v>
      </c>
      <c r="K23" s="272"/>
      <c r="L23" s="272"/>
      <c r="M23" s="272"/>
      <c r="N23" s="272"/>
      <c r="O23" s="272"/>
      <c r="P23" s="272"/>
      <c r="Q23" s="272"/>
      <c r="R23" s="272"/>
      <c r="S23" s="258">
        <f>(K23*L23*N23)+(K23*L23*M23*O23)+(K23*L23*M23*P23)+(K23*M23*Q23)+(K23*L23*R23)</f>
        <v>0</v>
      </c>
      <c r="T23" s="273"/>
      <c r="U23" s="273"/>
      <c r="V23" s="259">
        <f aca="true" t="shared" si="7" ref="V23:V35">T23*U23</f>
        <v>0</v>
      </c>
      <c r="W23" s="274"/>
      <c r="X23" s="274"/>
      <c r="Y23" s="259">
        <v>50000</v>
      </c>
      <c r="Z23" s="275"/>
      <c r="AA23" s="275"/>
      <c r="AB23" s="260">
        <f t="shared" si="3"/>
        <v>0</v>
      </c>
      <c r="AC23" s="260"/>
      <c r="AD23" s="260"/>
      <c r="AE23" s="419"/>
      <c r="AF23" s="419"/>
      <c r="AG23" s="260">
        <f aca="true" t="shared" si="8" ref="AG23:AG35">AE23*AF23</f>
        <v>0</v>
      </c>
      <c r="AH23" s="419"/>
      <c r="AI23" s="419"/>
      <c r="AJ23" s="260">
        <f aca="true" t="shared" si="9" ref="AJ23:AJ35">AH23*AI23</f>
        <v>0</v>
      </c>
      <c r="AK23" s="259"/>
      <c r="AL23" s="259">
        <f t="shared" si="5"/>
        <v>50000</v>
      </c>
      <c r="AM23" s="415"/>
      <c r="AN23" s="276">
        <f>AL23</f>
        <v>50000</v>
      </c>
      <c r="AO23" s="276"/>
      <c r="AP23" s="276"/>
      <c r="AQ23" s="276"/>
      <c r="AR23" s="262">
        <f t="shared" si="4"/>
        <v>0</v>
      </c>
    </row>
    <row r="24" spans="1:44" ht="21" customHeight="1">
      <c r="A24" s="904"/>
      <c r="B24" s="906">
        <v>6.5</v>
      </c>
      <c r="C24" s="907" t="s">
        <v>270</v>
      </c>
      <c r="D24" s="269" t="s">
        <v>144</v>
      </c>
      <c r="E24" s="269" t="s">
        <v>297</v>
      </c>
      <c r="F24" s="253"/>
      <c r="G24" s="270"/>
      <c r="H24" s="271"/>
      <c r="I24" s="271"/>
      <c r="J24" s="257">
        <f t="shared" si="6"/>
        <v>0</v>
      </c>
      <c r="K24" s="272"/>
      <c r="L24" s="272"/>
      <c r="M24" s="272"/>
      <c r="N24" s="272"/>
      <c r="O24" s="272"/>
      <c r="P24" s="272"/>
      <c r="Q24" s="272"/>
      <c r="R24" s="272"/>
      <c r="S24" s="258">
        <v>35000</v>
      </c>
      <c r="T24" s="273"/>
      <c r="U24" s="273"/>
      <c r="V24" s="259">
        <f t="shared" si="7"/>
        <v>0</v>
      </c>
      <c r="W24" s="274"/>
      <c r="X24" s="274"/>
      <c r="Y24" s="259">
        <f aca="true" t="shared" si="10" ref="Y24:Y35">W24*X24</f>
        <v>0</v>
      </c>
      <c r="Z24" s="275"/>
      <c r="AA24" s="275"/>
      <c r="AB24" s="260">
        <f t="shared" si="3"/>
        <v>0</v>
      </c>
      <c r="AC24" s="260"/>
      <c r="AD24" s="260">
        <v>25000</v>
      </c>
      <c r="AE24" s="419"/>
      <c r="AF24" s="419"/>
      <c r="AG24" s="260">
        <f t="shared" si="8"/>
        <v>0</v>
      </c>
      <c r="AH24" s="419"/>
      <c r="AI24" s="419"/>
      <c r="AJ24" s="260">
        <f t="shared" si="9"/>
        <v>0</v>
      </c>
      <c r="AK24" s="259">
        <v>5000</v>
      </c>
      <c r="AL24" s="259">
        <f t="shared" si="5"/>
        <v>65000</v>
      </c>
      <c r="AM24" s="415">
        <v>5000</v>
      </c>
      <c r="AN24" s="276"/>
      <c r="AO24" s="276"/>
      <c r="AP24" s="276">
        <v>60000</v>
      </c>
      <c r="AQ24" s="276"/>
      <c r="AR24" s="262">
        <f t="shared" si="4"/>
        <v>0</v>
      </c>
    </row>
    <row r="25" spans="1:44" ht="29.25" customHeight="1">
      <c r="A25" s="904"/>
      <c r="B25" s="906"/>
      <c r="C25" s="907"/>
      <c r="D25" s="269" t="s">
        <v>145</v>
      </c>
      <c r="E25" s="269" t="s">
        <v>296</v>
      </c>
      <c r="F25" s="253"/>
      <c r="G25" s="270"/>
      <c r="H25" s="271"/>
      <c r="I25" s="271"/>
      <c r="J25" s="257">
        <f t="shared" si="6"/>
        <v>0</v>
      </c>
      <c r="K25" s="272"/>
      <c r="L25" s="272"/>
      <c r="M25" s="272"/>
      <c r="N25" s="272"/>
      <c r="O25" s="272"/>
      <c r="P25" s="272"/>
      <c r="Q25" s="272"/>
      <c r="R25" s="272"/>
      <c r="S25" s="258">
        <f aca="true" t="shared" si="11" ref="S25:S35">(K25*L25*N25)+(K25*L25*M25*O25)+(K25*L25*M25*P25)+(K25*M25*Q25)+(K25*L25*R25)</f>
        <v>0</v>
      </c>
      <c r="T25" s="273">
        <f>10*10</f>
        <v>100</v>
      </c>
      <c r="U25" s="273">
        <v>350</v>
      </c>
      <c r="V25" s="259">
        <f t="shared" si="7"/>
        <v>35000</v>
      </c>
      <c r="W25" s="274">
        <f>10*30</f>
        <v>300</v>
      </c>
      <c r="X25" s="274">
        <v>1200</v>
      </c>
      <c r="Y25" s="259">
        <f t="shared" si="10"/>
        <v>360000</v>
      </c>
      <c r="Z25" s="275"/>
      <c r="AA25" s="275"/>
      <c r="AB25" s="260">
        <f t="shared" si="3"/>
        <v>0</v>
      </c>
      <c r="AC25" s="260"/>
      <c r="AD25" s="260"/>
      <c r="AE25" s="419"/>
      <c r="AF25" s="419"/>
      <c r="AG25" s="260">
        <f t="shared" si="8"/>
        <v>0</v>
      </c>
      <c r="AH25" s="603"/>
      <c r="AI25" s="603"/>
      <c r="AJ25" s="260">
        <f t="shared" si="9"/>
        <v>0</v>
      </c>
      <c r="AK25" s="259">
        <v>50000</v>
      </c>
      <c r="AL25" s="259">
        <f t="shared" si="5"/>
        <v>445000</v>
      </c>
      <c r="AM25" s="415">
        <v>50000</v>
      </c>
      <c r="AN25" s="276"/>
      <c r="AO25" s="276"/>
      <c r="AP25" s="276"/>
      <c r="AQ25" s="276"/>
      <c r="AR25" s="262">
        <f t="shared" si="4"/>
        <v>395000</v>
      </c>
    </row>
    <row r="26" spans="1:44" ht="15.75" customHeight="1">
      <c r="A26" s="904"/>
      <c r="B26" s="906"/>
      <c r="C26" s="907"/>
      <c r="D26" s="269" t="s">
        <v>146</v>
      </c>
      <c r="E26" s="269" t="s">
        <v>294</v>
      </c>
      <c r="F26" s="253"/>
      <c r="G26" s="270"/>
      <c r="H26" s="271"/>
      <c r="I26" s="271"/>
      <c r="J26" s="257">
        <f t="shared" si="6"/>
        <v>0</v>
      </c>
      <c r="K26" s="272"/>
      <c r="L26" s="272"/>
      <c r="M26" s="272"/>
      <c r="N26" s="272"/>
      <c r="O26" s="272"/>
      <c r="P26" s="272"/>
      <c r="Q26" s="272"/>
      <c r="R26" s="272"/>
      <c r="S26" s="258">
        <f t="shared" si="11"/>
        <v>0</v>
      </c>
      <c r="T26" s="273"/>
      <c r="U26" s="273"/>
      <c r="V26" s="259">
        <f t="shared" si="7"/>
        <v>0</v>
      </c>
      <c r="W26" s="274"/>
      <c r="X26" s="274"/>
      <c r="Y26" s="259">
        <f t="shared" si="10"/>
        <v>0</v>
      </c>
      <c r="Z26" s="275"/>
      <c r="AA26" s="275"/>
      <c r="AB26" s="260">
        <f t="shared" si="3"/>
        <v>0</v>
      </c>
      <c r="AC26" s="260"/>
      <c r="AD26" s="260"/>
      <c r="AE26" s="419"/>
      <c r="AF26" s="419"/>
      <c r="AG26" s="260">
        <f t="shared" si="8"/>
        <v>0</v>
      </c>
      <c r="AH26" s="603"/>
      <c r="AI26" s="603"/>
      <c r="AJ26" s="260">
        <f t="shared" si="9"/>
        <v>0</v>
      </c>
      <c r="AK26" s="259">
        <v>30000</v>
      </c>
      <c r="AL26" s="259">
        <f t="shared" si="5"/>
        <v>30000</v>
      </c>
      <c r="AM26" s="415">
        <v>30000</v>
      </c>
      <c r="AN26" s="276"/>
      <c r="AO26" s="276"/>
      <c r="AP26" s="276"/>
      <c r="AQ26" s="276"/>
      <c r="AR26" s="262">
        <f t="shared" si="4"/>
        <v>0</v>
      </c>
    </row>
    <row r="27" spans="1:44" ht="25.5">
      <c r="A27" s="904"/>
      <c r="B27" s="906"/>
      <c r="C27" s="907"/>
      <c r="D27" s="269" t="s">
        <v>147</v>
      </c>
      <c r="E27" s="269" t="s">
        <v>295</v>
      </c>
      <c r="F27" s="253"/>
      <c r="G27" s="270"/>
      <c r="H27" s="271"/>
      <c r="I27" s="271"/>
      <c r="J27" s="257">
        <f t="shared" si="6"/>
        <v>0</v>
      </c>
      <c r="K27" s="272"/>
      <c r="L27" s="272"/>
      <c r="M27" s="272"/>
      <c r="N27" s="272"/>
      <c r="O27" s="272"/>
      <c r="P27" s="272"/>
      <c r="Q27" s="272"/>
      <c r="R27" s="272"/>
      <c r="S27" s="258">
        <f t="shared" si="11"/>
        <v>0</v>
      </c>
      <c r="T27" s="273">
        <v>80</v>
      </c>
      <c r="U27" s="273">
        <v>350</v>
      </c>
      <c r="V27" s="259">
        <f t="shared" si="7"/>
        <v>28000</v>
      </c>
      <c r="W27" s="274">
        <f>15*10</f>
        <v>150</v>
      </c>
      <c r="X27" s="274">
        <v>1200</v>
      </c>
      <c r="Y27" s="259">
        <f t="shared" si="10"/>
        <v>180000</v>
      </c>
      <c r="Z27" s="275"/>
      <c r="AA27" s="275"/>
      <c r="AB27" s="260">
        <f t="shared" si="3"/>
        <v>0</v>
      </c>
      <c r="AC27" s="260"/>
      <c r="AD27" s="260"/>
      <c r="AE27" s="419"/>
      <c r="AF27" s="419"/>
      <c r="AG27" s="260">
        <f t="shared" si="8"/>
        <v>0</v>
      </c>
      <c r="AH27" s="419"/>
      <c r="AI27" s="419"/>
      <c r="AJ27" s="260">
        <f t="shared" si="9"/>
        <v>0</v>
      </c>
      <c r="AK27" s="259">
        <v>5000</v>
      </c>
      <c r="AL27" s="259">
        <f t="shared" si="5"/>
        <v>213000</v>
      </c>
      <c r="AM27" s="415">
        <v>5000</v>
      </c>
      <c r="AN27" s="276"/>
      <c r="AO27" s="276"/>
      <c r="AP27" s="276"/>
      <c r="AQ27" s="276"/>
      <c r="AR27" s="262">
        <f t="shared" si="4"/>
        <v>208000</v>
      </c>
    </row>
    <row r="28" spans="1:44" ht="41.25" customHeight="1">
      <c r="A28" s="904"/>
      <c r="B28" s="906">
        <v>6.6</v>
      </c>
      <c r="C28" s="914" t="s">
        <v>271</v>
      </c>
      <c r="D28" s="269" t="s">
        <v>148</v>
      </c>
      <c r="E28" s="269" t="s">
        <v>298</v>
      </c>
      <c r="F28" s="253"/>
      <c r="G28" s="270"/>
      <c r="H28" s="271"/>
      <c r="I28" s="271"/>
      <c r="J28" s="257">
        <f t="shared" si="6"/>
        <v>0</v>
      </c>
      <c r="K28" s="272"/>
      <c r="L28" s="272"/>
      <c r="M28" s="272"/>
      <c r="N28" s="272"/>
      <c r="O28" s="272"/>
      <c r="P28" s="272"/>
      <c r="Q28" s="272"/>
      <c r="R28" s="272"/>
      <c r="S28" s="258">
        <f t="shared" si="11"/>
        <v>0</v>
      </c>
      <c r="T28" s="273">
        <v>300</v>
      </c>
      <c r="U28" s="273">
        <v>350</v>
      </c>
      <c r="V28" s="259">
        <f t="shared" si="7"/>
        <v>105000</v>
      </c>
      <c r="W28" s="274">
        <v>200</v>
      </c>
      <c r="X28" s="274">
        <v>1200</v>
      </c>
      <c r="Y28" s="259">
        <f t="shared" si="10"/>
        <v>240000</v>
      </c>
      <c r="Z28" s="275"/>
      <c r="AA28" s="275"/>
      <c r="AB28" s="260">
        <f t="shared" si="3"/>
        <v>0</v>
      </c>
      <c r="AC28" s="260"/>
      <c r="AD28" s="260"/>
      <c r="AE28" s="419"/>
      <c r="AF28" s="419"/>
      <c r="AG28" s="260">
        <f t="shared" si="8"/>
        <v>0</v>
      </c>
      <c r="AH28" s="419"/>
      <c r="AI28" s="419"/>
      <c r="AJ28" s="260">
        <f t="shared" si="9"/>
        <v>0</v>
      </c>
      <c r="AK28" s="259">
        <v>3000</v>
      </c>
      <c r="AL28" s="259">
        <f t="shared" si="5"/>
        <v>348000</v>
      </c>
      <c r="AM28" s="415"/>
      <c r="AN28" s="276"/>
      <c r="AO28" s="276"/>
      <c r="AP28" s="276"/>
      <c r="AQ28" s="276"/>
      <c r="AR28" s="262">
        <f t="shared" si="4"/>
        <v>348000</v>
      </c>
    </row>
    <row r="29" spans="1:44" ht="53.25" customHeight="1">
      <c r="A29" s="904"/>
      <c r="B29" s="906"/>
      <c r="C29" s="914"/>
      <c r="D29" s="269" t="s">
        <v>149</v>
      </c>
      <c r="E29" s="269" t="s">
        <v>299</v>
      </c>
      <c r="F29" s="253"/>
      <c r="G29" s="270"/>
      <c r="H29" s="271"/>
      <c r="I29" s="271"/>
      <c r="J29" s="257">
        <f t="shared" si="6"/>
        <v>0</v>
      </c>
      <c r="K29" s="272">
        <v>4</v>
      </c>
      <c r="L29" s="272">
        <v>3</v>
      </c>
      <c r="M29" s="272">
        <v>20</v>
      </c>
      <c r="N29" s="272">
        <v>300</v>
      </c>
      <c r="O29" s="272">
        <v>25</v>
      </c>
      <c r="P29" s="272"/>
      <c r="Q29" s="272">
        <v>20</v>
      </c>
      <c r="R29" s="272"/>
      <c r="S29" s="258">
        <f t="shared" si="11"/>
        <v>11200</v>
      </c>
      <c r="T29" s="273"/>
      <c r="U29" s="273"/>
      <c r="V29" s="259">
        <f t="shared" si="7"/>
        <v>0</v>
      </c>
      <c r="W29" s="274"/>
      <c r="X29" s="274"/>
      <c r="Y29" s="259">
        <f t="shared" si="10"/>
        <v>0</v>
      </c>
      <c r="Z29" s="275"/>
      <c r="AA29" s="275"/>
      <c r="AB29" s="260">
        <f t="shared" si="3"/>
        <v>0</v>
      </c>
      <c r="AC29" s="260"/>
      <c r="AD29" s="260"/>
      <c r="AE29" s="419"/>
      <c r="AF29" s="419"/>
      <c r="AG29" s="260">
        <f t="shared" si="8"/>
        <v>0</v>
      </c>
      <c r="AH29" s="419"/>
      <c r="AI29" s="419"/>
      <c r="AJ29" s="260">
        <f t="shared" si="9"/>
        <v>0</v>
      </c>
      <c r="AK29" s="259"/>
      <c r="AL29" s="259">
        <f t="shared" si="5"/>
        <v>11200</v>
      </c>
      <c r="AM29" s="415"/>
      <c r="AN29" s="276"/>
      <c r="AO29" s="276"/>
      <c r="AP29" s="276"/>
      <c r="AQ29" s="276"/>
      <c r="AR29" s="262">
        <f t="shared" si="4"/>
        <v>11200</v>
      </c>
    </row>
    <row r="30" spans="1:44" ht="25.5" customHeight="1">
      <c r="A30" s="904"/>
      <c r="B30" s="906">
        <v>6.7</v>
      </c>
      <c r="C30" s="907" t="s">
        <v>317</v>
      </c>
      <c r="D30" s="269" t="s">
        <v>150</v>
      </c>
      <c r="E30" s="269" t="s">
        <v>300</v>
      </c>
      <c r="F30" s="253"/>
      <c r="G30" s="270"/>
      <c r="H30" s="271"/>
      <c r="I30" s="271"/>
      <c r="J30" s="257">
        <f t="shared" si="6"/>
        <v>0</v>
      </c>
      <c r="K30" s="272"/>
      <c r="L30" s="272"/>
      <c r="M30" s="272"/>
      <c r="N30" s="272"/>
      <c r="O30" s="272"/>
      <c r="P30" s="272"/>
      <c r="Q30" s="272"/>
      <c r="R30" s="272"/>
      <c r="S30" s="258">
        <f t="shared" si="11"/>
        <v>0</v>
      </c>
      <c r="T30" s="273"/>
      <c r="U30" s="273"/>
      <c r="V30" s="259">
        <f t="shared" si="7"/>
        <v>0</v>
      </c>
      <c r="W30" s="274">
        <v>100</v>
      </c>
      <c r="X30" s="274">
        <v>1200</v>
      </c>
      <c r="Y30" s="259">
        <f t="shared" si="10"/>
        <v>120000</v>
      </c>
      <c r="Z30" s="275"/>
      <c r="AA30" s="275"/>
      <c r="AB30" s="260">
        <f t="shared" si="3"/>
        <v>0</v>
      </c>
      <c r="AC30" s="260"/>
      <c r="AD30" s="260"/>
      <c r="AE30" s="419"/>
      <c r="AF30" s="419"/>
      <c r="AG30" s="260">
        <f t="shared" si="8"/>
        <v>0</v>
      </c>
      <c r="AH30" s="419"/>
      <c r="AI30" s="419"/>
      <c r="AJ30" s="260">
        <f t="shared" si="9"/>
        <v>0</v>
      </c>
      <c r="AK30" s="259">
        <v>10000</v>
      </c>
      <c r="AL30" s="259">
        <f t="shared" si="5"/>
        <v>130000</v>
      </c>
      <c r="AM30" s="415"/>
      <c r="AN30" s="276"/>
      <c r="AO30" s="276"/>
      <c r="AP30" s="276"/>
      <c r="AQ30" s="276"/>
      <c r="AR30" s="262">
        <f t="shared" si="4"/>
        <v>130000</v>
      </c>
    </row>
    <row r="31" spans="1:44" ht="40.5" customHeight="1">
      <c r="A31" s="904"/>
      <c r="B31" s="906"/>
      <c r="C31" s="907"/>
      <c r="D31" s="269" t="s">
        <v>151</v>
      </c>
      <c r="E31" s="269" t="s">
        <v>301</v>
      </c>
      <c r="F31" s="253" t="s">
        <v>287</v>
      </c>
      <c r="G31" s="270"/>
      <c r="H31" s="271"/>
      <c r="I31" s="271"/>
      <c r="J31" s="257">
        <f t="shared" si="6"/>
        <v>0</v>
      </c>
      <c r="K31" s="272"/>
      <c r="L31" s="272"/>
      <c r="M31" s="272"/>
      <c r="N31" s="272"/>
      <c r="O31" s="272"/>
      <c r="P31" s="272"/>
      <c r="Q31" s="272"/>
      <c r="R31" s="272"/>
      <c r="S31" s="258">
        <f t="shared" si="11"/>
        <v>0</v>
      </c>
      <c r="T31" s="273"/>
      <c r="U31" s="273"/>
      <c r="V31" s="259">
        <f t="shared" si="7"/>
        <v>0</v>
      </c>
      <c r="W31" s="274"/>
      <c r="X31" s="274"/>
      <c r="Y31" s="259">
        <f t="shared" si="10"/>
        <v>0</v>
      </c>
      <c r="Z31" s="275"/>
      <c r="AA31" s="275"/>
      <c r="AB31" s="260">
        <f t="shared" si="3"/>
        <v>0</v>
      </c>
      <c r="AC31" s="260"/>
      <c r="AD31" s="260"/>
      <c r="AE31" s="419"/>
      <c r="AF31" s="419"/>
      <c r="AG31" s="260">
        <f t="shared" si="8"/>
        <v>0</v>
      </c>
      <c r="AH31" s="419"/>
      <c r="AI31" s="419"/>
      <c r="AJ31" s="260">
        <f t="shared" si="9"/>
        <v>0</v>
      </c>
      <c r="AK31" s="259">
        <v>8000</v>
      </c>
      <c r="AL31" s="259">
        <f t="shared" si="5"/>
        <v>8000</v>
      </c>
      <c r="AM31" s="415"/>
      <c r="AN31" s="276"/>
      <c r="AO31" s="276"/>
      <c r="AP31" s="276"/>
      <c r="AQ31" s="276"/>
      <c r="AR31" s="262">
        <f t="shared" si="4"/>
        <v>8000</v>
      </c>
    </row>
    <row r="32" spans="1:44" ht="42.75" customHeight="1">
      <c r="A32" s="904"/>
      <c r="B32" s="906">
        <v>6.8</v>
      </c>
      <c r="C32" s="906" t="s">
        <v>272</v>
      </c>
      <c r="D32" s="269" t="s">
        <v>105</v>
      </c>
      <c r="E32" s="269" t="s">
        <v>302</v>
      </c>
      <c r="F32" s="253" t="s">
        <v>106</v>
      </c>
      <c r="G32" s="270"/>
      <c r="H32" s="271"/>
      <c r="I32" s="271"/>
      <c r="J32" s="257">
        <f t="shared" si="6"/>
        <v>0</v>
      </c>
      <c r="K32" s="272"/>
      <c r="L32" s="272"/>
      <c r="M32" s="272"/>
      <c r="N32" s="272"/>
      <c r="O32" s="272"/>
      <c r="P32" s="272"/>
      <c r="Q32" s="272"/>
      <c r="R32" s="272"/>
      <c r="S32" s="258">
        <f t="shared" si="11"/>
        <v>0</v>
      </c>
      <c r="T32" s="273"/>
      <c r="U32" s="273"/>
      <c r="V32" s="259">
        <f t="shared" si="7"/>
        <v>0</v>
      </c>
      <c r="W32" s="274"/>
      <c r="X32" s="274"/>
      <c r="Y32" s="259">
        <f t="shared" si="10"/>
        <v>0</v>
      </c>
      <c r="Z32" s="275"/>
      <c r="AA32" s="275"/>
      <c r="AB32" s="260">
        <v>20000</v>
      </c>
      <c r="AC32" s="260"/>
      <c r="AD32" s="260">
        <v>288000</v>
      </c>
      <c r="AE32" s="419"/>
      <c r="AF32" s="419"/>
      <c r="AG32" s="260">
        <f t="shared" si="8"/>
        <v>0</v>
      </c>
      <c r="AH32" s="419"/>
      <c r="AI32" s="419"/>
      <c r="AJ32" s="260">
        <f t="shared" si="9"/>
        <v>0</v>
      </c>
      <c r="AK32" s="259"/>
      <c r="AL32" s="259">
        <f t="shared" si="5"/>
        <v>308000</v>
      </c>
      <c r="AM32" s="415">
        <v>20000</v>
      </c>
      <c r="AN32" s="276"/>
      <c r="AO32" s="276"/>
      <c r="AP32" s="276">
        <f>AL32-AM32</f>
        <v>288000</v>
      </c>
      <c r="AQ32" s="276"/>
      <c r="AR32" s="262">
        <f t="shared" si="4"/>
        <v>0</v>
      </c>
    </row>
    <row r="33" spans="1:44" ht="40.5" customHeight="1">
      <c r="A33" s="904"/>
      <c r="B33" s="906"/>
      <c r="C33" s="906"/>
      <c r="D33" s="269" t="s">
        <v>107</v>
      </c>
      <c r="E33" s="269" t="s">
        <v>303</v>
      </c>
      <c r="F33" s="253"/>
      <c r="G33" s="270"/>
      <c r="H33" s="271"/>
      <c r="I33" s="271"/>
      <c r="J33" s="257">
        <f t="shared" si="6"/>
        <v>0</v>
      </c>
      <c r="K33" s="272">
        <v>20</v>
      </c>
      <c r="L33" s="272">
        <v>3</v>
      </c>
      <c r="M33" s="272">
        <v>25</v>
      </c>
      <c r="N33" s="272">
        <v>300</v>
      </c>
      <c r="O33" s="272">
        <v>25</v>
      </c>
      <c r="P33" s="272">
        <v>30</v>
      </c>
      <c r="Q33" s="272">
        <v>20</v>
      </c>
      <c r="R33" s="272"/>
      <c r="S33" s="258">
        <f t="shared" si="11"/>
        <v>110500</v>
      </c>
      <c r="T33" s="273">
        <f>(20*3)*2+3</f>
        <v>123</v>
      </c>
      <c r="U33" s="273">
        <v>350</v>
      </c>
      <c r="V33" s="259">
        <f t="shared" si="7"/>
        <v>43050</v>
      </c>
      <c r="W33" s="274"/>
      <c r="X33" s="274"/>
      <c r="Y33" s="259">
        <f t="shared" si="10"/>
        <v>0</v>
      </c>
      <c r="Z33" s="275"/>
      <c r="AA33" s="275"/>
      <c r="AB33" s="260">
        <f t="shared" si="3"/>
        <v>0</v>
      </c>
      <c r="AC33" s="260"/>
      <c r="AD33" s="260"/>
      <c r="AE33" s="419"/>
      <c r="AF33" s="419"/>
      <c r="AG33" s="260">
        <f t="shared" si="8"/>
        <v>0</v>
      </c>
      <c r="AH33" s="419"/>
      <c r="AI33" s="419"/>
      <c r="AJ33" s="260">
        <f t="shared" si="9"/>
        <v>0</v>
      </c>
      <c r="AK33" s="259">
        <v>5000</v>
      </c>
      <c r="AL33" s="259">
        <f t="shared" si="5"/>
        <v>158550</v>
      </c>
      <c r="AM33" s="415"/>
      <c r="AN33" s="276"/>
      <c r="AO33" s="276"/>
      <c r="AP33" s="276"/>
      <c r="AQ33" s="276"/>
      <c r="AR33" s="262">
        <f t="shared" si="4"/>
        <v>158550</v>
      </c>
    </row>
    <row r="34" spans="1:44" ht="42" customHeight="1">
      <c r="A34" s="904"/>
      <c r="B34" s="906"/>
      <c r="C34" s="906"/>
      <c r="D34" s="269" t="s">
        <v>108</v>
      </c>
      <c r="E34" s="269" t="s">
        <v>304</v>
      </c>
      <c r="F34" s="253"/>
      <c r="G34" s="270"/>
      <c r="H34" s="271"/>
      <c r="I34" s="271"/>
      <c r="J34" s="257">
        <f t="shared" si="6"/>
        <v>0</v>
      </c>
      <c r="K34" s="272"/>
      <c r="L34" s="272"/>
      <c r="M34" s="272"/>
      <c r="N34" s="272"/>
      <c r="O34" s="272"/>
      <c r="P34" s="272"/>
      <c r="Q34" s="272"/>
      <c r="R34" s="272"/>
      <c r="S34" s="258">
        <f t="shared" si="11"/>
        <v>0</v>
      </c>
      <c r="T34" s="273"/>
      <c r="U34" s="273"/>
      <c r="V34" s="259">
        <f t="shared" si="7"/>
        <v>0</v>
      </c>
      <c r="W34" s="274"/>
      <c r="X34" s="274"/>
      <c r="Y34" s="259">
        <f t="shared" si="10"/>
        <v>0</v>
      </c>
      <c r="Z34" s="275"/>
      <c r="AA34" s="275"/>
      <c r="AB34" s="260">
        <f t="shared" si="3"/>
        <v>0</v>
      </c>
      <c r="AC34" s="260"/>
      <c r="AD34" s="260"/>
      <c r="AE34" s="419"/>
      <c r="AF34" s="419"/>
      <c r="AG34" s="260">
        <f t="shared" si="8"/>
        <v>0</v>
      </c>
      <c r="AH34" s="419"/>
      <c r="AI34" s="419"/>
      <c r="AJ34" s="260">
        <f t="shared" si="9"/>
        <v>0</v>
      </c>
      <c r="AK34" s="259">
        <v>30000</v>
      </c>
      <c r="AL34" s="259">
        <f t="shared" si="5"/>
        <v>30000</v>
      </c>
      <c r="AM34" s="415">
        <v>30000</v>
      </c>
      <c r="AN34" s="276"/>
      <c r="AO34" s="276"/>
      <c r="AP34" s="276"/>
      <c r="AQ34" s="276"/>
      <c r="AR34" s="262">
        <f t="shared" si="4"/>
        <v>0</v>
      </c>
    </row>
    <row r="35" spans="1:44" ht="38.25">
      <c r="A35" s="905"/>
      <c r="B35" s="906"/>
      <c r="C35" s="906"/>
      <c r="D35" s="269" t="s">
        <v>109</v>
      </c>
      <c r="E35" s="269" t="s">
        <v>305</v>
      </c>
      <c r="F35" s="253"/>
      <c r="G35" s="270"/>
      <c r="H35" s="271"/>
      <c r="I35" s="271"/>
      <c r="J35" s="257">
        <f t="shared" si="6"/>
        <v>0</v>
      </c>
      <c r="K35" s="272">
        <v>6</v>
      </c>
      <c r="L35" s="272">
        <v>3</v>
      </c>
      <c r="M35" s="272">
        <v>25</v>
      </c>
      <c r="N35" s="272">
        <v>300</v>
      </c>
      <c r="O35" s="272">
        <v>25</v>
      </c>
      <c r="P35" s="272">
        <v>30</v>
      </c>
      <c r="Q35" s="272">
        <v>20</v>
      </c>
      <c r="R35" s="272"/>
      <c r="S35" s="258">
        <f t="shared" si="11"/>
        <v>33150</v>
      </c>
      <c r="T35" s="273"/>
      <c r="U35" s="273"/>
      <c r="V35" s="259">
        <f t="shared" si="7"/>
        <v>0</v>
      </c>
      <c r="W35" s="274"/>
      <c r="X35" s="274"/>
      <c r="Y35" s="259">
        <f t="shared" si="10"/>
        <v>0</v>
      </c>
      <c r="Z35" s="275"/>
      <c r="AA35" s="275"/>
      <c r="AB35" s="260">
        <f t="shared" si="3"/>
        <v>0</v>
      </c>
      <c r="AC35" s="260"/>
      <c r="AD35" s="260"/>
      <c r="AE35" s="419"/>
      <c r="AF35" s="419"/>
      <c r="AG35" s="260">
        <f t="shared" si="8"/>
        <v>0</v>
      </c>
      <c r="AH35" s="419"/>
      <c r="AI35" s="419"/>
      <c r="AJ35" s="260">
        <f t="shared" si="9"/>
        <v>0</v>
      </c>
      <c r="AK35" s="259">
        <v>3000</v>
      </c>
      <c r="AL35" s="259">
        <f t="shared" si="5"/>
        <v>36150</v>
      </c>
      <c r="AM35" s="415"/>
      <c r="AN35" s="276"/>
      <c r="AO35" s="276"/>
      <c r="AP35" s="276"/>
      <c r="AQ35" s="276"/>
      <c r="AR35" s="262">
        <f t="shared" si="4"/>
        <v>36150</v>
      </c>
    </row>
    <row r="36" spans="1:44" ht="38.25" customHeight="1">
      <c r="A36" s="296"/>
      <c r="B36" s="209">
        <v>6.9</v>
      </c>
      <c r="C36" s="209"/>
      <c r="D36" s="269" t="s">
        <v>153</v>
      </c>
      <c r="E36" s="269" t="s">
        <v>306</v>
      </c>
      <c r="F36" s="253"/>
      <c r="G36" s="270"/>
      <c r="H36" s="271"/>
      <c r="I36" s="271"/>
      <c r="J36" s="257"/>
      <c r="K36" s="272"/>
      <c r="L36" s="272"/>
      <c r="M36" s="272"/>
      <c r="N36" s="272"/>
      <c r="O36" s="272"/>
      <c r="P36" s="272"/>
      <c r="Q36" s="272"/>
      <c r="R36" s="272"/>
      <c r="S36" s="258"/>
      <c r="T36" s="273"/>
      <c r="U36" s="273"/>
      <c r="V36" s="259"/>
      <c r="W36" s="274"/>
      <c r="X36" s="274"/>
      <c r="Y36" s="259">
        <v>200000</v>
      </c>
      <c r="Z36" s="275"/>
      <c r="AA36" s="275"/>
      <c r="AB36" s="260"/>
      <c r="AC36" s="260"/>
      <c r="AD36" s="260">
        <v>150000</v>
      </c>
      <c r="AE36" s="419"/>
      <c r="AF36" s="419"/>
      <c r="AG36" s="260"/>
      <c r="AH36" s="419"/>
      <c r="AI36" s="419"/>
      <c r="AJ36" s="260"/>
      <c r="AK36" s="259"/>
      <c r="AL36" s="259">
        <f>J36+S36+V36+Y36+AB36+AG36+AJ36+AK36+AC36+AD36</f>
        <v>350000</v>
      </c>
      <c r="AM36" s="415"/>
      <c r="AN36" s="276">
        <v>350000</v>
      </c>
      <c r="AO36" s="276"/>
      <c r="AP36" s="276"/>
      <c r="AQ36" s="276"/>
      <c r="AR36" s="262">
        <f t="shared" si="4"/>
        <v>0</v>
      </c>
    </row>
    <row r="37" spans="1:44" ht="19.5" customHeight="1">
      <c r="A37" s="430"/>
      <c r="B37" s="430"/>
      <c r="C37" s="430"/>
      <c r="D37" s="430"/>
      <c r="E37" s="611"/>
      <c r="F37" s="430"/>
      <c r="G37" s="430"/>
      <c r="H37" s="430"/>
      <c r="I37" s="430"/>
      <c r="J37" s="430"/>
      <c r="K37" s="430"/>
      <c r="L37" s="430"/>
      <c r="M37" s="430"/>
      <c r="N37" s="430"/>
      <c r="O37" s="430"/>
      <c r="P37" s="430"/>
      <c r="Q37" s="430"/>
      <c r="R37" s="430"/>
      <c r="S37" s="430">
        <f>SUM(S17:S36)</f>
        <v>192250</v>
      </c>
      <c r="T37" s="430"/>
      <c r="U37" s="430"/>
      <c r="V37" s="430">
        <f>SUM(V17:V36)</f>
        <v>228550</v>
      </c>
      <c r="W37" s="430"/>
      <c r="X37" s="430"/>
      <c r="Y37" s="430">
        <f aca="true" t="shared" si="12" ref="Y37:AR37">SUM(Y17:Y36)</f>
        <v>1450000</v>
      </c>
      <c r="Z37" s="430">
        <f t="shared" si="12"/>
        <v>0</v>
      </c>
      <c r="AA37" s="430">
        <f t="shared" si="12"/>
        <v>0</v>
      </c>
      <c r="AB37" s="430">
        <f t="shared" si="12"/>
        <v>20000</v>
      </c>
      <c r="AC37" s="430">
        <f t="shared" si="12"/>
        <v>0</v>
      </c>
      <c r="AD37" s="430">
        <f t="shared" si="12"/>
        <v>463000</v>
      </c>
      <c r="AE37" s="430">
        <f t="shared" si="12"/>
        <v>0</v>
      </c>
      <c r="AF37" s="430">
        <f t="shared" si="12"/>
        <v>0</v>
      </c>
      <c r="AG37" s="430">
        <f t="shared" si="12"/>
        <v>0</v>
      </c>
      <c r="AH37" s="430">
        <f t="shared" si="12"/>
        <v>0</v>
      </c>
      <c r="AI37" s="430">
        <f t="shared" si="12"/>
        <v>0</v>
      </c>
      <c r="AJ37" s="430">
        <f t="shared" si="12"/>
        <v>0</v>
      </c>
      <c r="AK37" s="430">
        <f t="shared" si="12"/>
        <v>259000</v>
      </c>
      <c r="AL37" s="430">
        <f t="shared" si="12"/>
        <v>2612800</v>
      </c>
      <c r="AM37" s="430">
        <f t="shared" si="12"/>
        <v>250000</v>
      </c>
      <c r="AN37" s="430">
        <f t="shared" si="12"/>
        <v>700000</v>
      </c>
      <c r="AO37" s="430">
        <f t="shared" si="12"/>
        <v>0</v>
      </c>
      <c r="AP37" s="430">
        <f t="shared" si="12"/>
        <v>348000</v>
      </c>
      <c r="AQ37" s="430">
        <f t="shared" si="12"/>
        <v>0</v>
      </c>
      <c r="AR37" s="430">
        <f t="shared" si="12"/>
        <v>1314800</v>
      </c>
    </row>
    <row r="38" spans="1:45" s="249" customFormat="1" ht="21" customHeight="1">
      <c r="A38" s="911" t="s">
        <v>273</v>
      </c>
      <c r="B38" s="912"/>
      <c r="C38" s="912"/>
      <c r="D38" s="912"/>
      <c r="E38" s="912"/>
      <c r="F38" s="912"/>
      <c r="G38" s="912"/>
      <c r="H38" s="912"/>
      <c r="I38" s="912"/>
      <c r="J38" s="912"/>
      <c r="K38" s="912"/>
      <c r="L38" s="912"/>
      <c r="M38" s="912"/>
      <c r="N38" s="912"/>
      <c r="O38" s="912"/>
      <c r="P38" s="912"/>
      <c r="Q38" s="912"/>
      <c r="R38" s="912"/>
      <c r="S38" s="912"/>
      <c r="T38" s="912"/>
      <c r="U38" s="912"/>
      <c r="V38" s="912"/>
      <c r="W38" s="912"/>
      <c r="X38" s="912"/>
      <c r="Y38" s="912"/>
      <c r="Z38" s="912"/>
      <c r="AA38" s="912"/>
      <c r="AB38" s="912"/>
      <c r="AC38" s="912"/>
      <c r="AD38" s="912"/>
      <c r="AE38" s="912"/>
      <c r="AF38" s="912"/>
      <c r="AG38" s="912"/>
      <c r="AH38" s="912"/>
      <c r="AI38" s="912"/>
      <c r="AJ38" s="912"/>
      <c r="AK38" s="912"/>
      <c r="AL38" s="912"/>
      <c r="AM38" s="912"/>
      <c r="AN38" s="912"/>
      <c r="AO38" s="912"/>
      <c r="AP38" s="912"/>
      <c r="AQ38" s="912"/>
      <c r="AR38" s="913"/>
      <c r="AS38" s="250"/>
    </row>
    <row r="39" spans="1:44" ht="29.25" customHeight="1">
      <c r="A39" s="903">
        <v>7</v>
      </c>
      <c r="B39" s="906">
        <v>7.1</v>
      </c>
      <c r="C39" s="914" t="s">
        <v>274</v>
      </c>
      <c r="D39" s="269" t="s">
        <v>184</v>
      </c>
      <c r="E39" s="269" t="s">
        <v>307</v>
      </c>
      <c r="F39" s="253"/>
      <c r="G39" s="270"/>
      <c r="H39" s="271"/>
      <c r="I39" s="271"/>
      <c r="J39" s="257">
        <f>G39*H39*I39</f>
        <v>0</v>
      </c>
      <c r="K39" s="272"/>
      <c r="L39" s="272"/>
      <c r="M39" s="272"/>
      <c r="N39" s="272"/>
      <c r="O39" s="272"/>
      <c r="P39" s="272"/>
      <c r="Q39" s="272"/>
      <c r="R39" s="272"/>
      <c r="S39" s="258">
        <f>(K39*L39*N39)+(K39*L39*M39*O39)+(K39*L39*M39*P39)+(K39*M39*Q39)+(K39*L39*R39)</f>
        <v>0</v>
      </c>
      <c r="T39" s="273">
        <v>200</v>
      </c>
      <c r="U39" s="273">
        <v>350</v>
      </c>
      <c r="V39" s="259">
        <f>T39*U39</f>
        <v>70000</v>
      </c>
      <c r="W39" s="274">
        <v>300</v>
      </c>
      <c r="X39" s="274">
        <v>1200</v>
      </c>
      <c r="Y39" s="259">
        <f>W39*X39</f>
        <v>360000</v>
      </c>
      <c r="Z39" s="275"/>
      <c r="AA39" s="275"/>
      <c r="AB39" s="260">
        <f>Z39*AA39</f>
        <v>0</v>
      </c>
      <c r="AC39" s="260"/>
      <c r="AD39" s="260"/>
      <c r="AE39" s="419"/>
      <c r="AF39" s="419"/>
      <c r="AG39" s="260">
        <f>AE39*AF39</f>
        <v>0</v>
      </c>
      <c r="AH39" s="419"/>
      <c r="AI39" s="419"/>
      <c r="AJ39" s="260">
        <f>AH39*AI39</f>
        <v>0</v>
      </c>
      <c r="AK39" s="259">
        <v>50000</v>
      </c>
      <c r="AL39" s="259">
        <f>J39+S39+V39+Y39+AB39+AG39+AJ39+AK39+AC39+AD39</f>
        <v>480000</v>
      </c>
      <c r="AM39" s="415">
        <v>50000</v>
      </c>
      <c r="AN39" s="276"/>
      <c r="AO39" s="276"/>
      <c r="AP39" s="276"/>
      <c r="AQ39" s="276"/>
      <c r="AR39" s="262">
        <f>AL39-AM39-AN39-AO39-AP39-AQ39</f>
        <v>430000</v>
      </c>
    </row>
    <row r="40" spans="1:44" ht="30" customHeight="1">
      <c r="A40" s="904"/>
      <c r="B40" s="906"/>
      <c r="C40" s="914"/>
      <c r="D40" s="269" t="s">
        <v>185</v>
      </c>
      <c r="E40" s="269" t="s">
        <v>308</v>
      </c>
      <c r="F40" s="253"/>
      <c r="G40" s="270"/>
      <c r="H40" s="271"/>
      <c r="I40" s="271"/>
      <c r="J40" s="257">
        <f>G40*H40*I40</f>
        <v>0</v>
      </c>
      <c r="K40" s="272"/>
      <c r="L40" s="272"/>
      <c r="M40" s="272"/>
      <c r="N40" s="272"/>
      <c r="O40" s="272"/>
      <c r="P40" s="272"/>
      <c r="Q40" s="272"/>
      <c r="R40" s="272"/>
      <c r="S40" s="258">
        <f>(K40*L40*N40)+(K40*L40*M40*O40)+(K40*L40*M40*P40)+(K40*M40*Q40)+(K40*L40*R40)</f>
        <v>0</v>
      </c>
      <c r="T40" s="273">
        <v>100</v>
      </c>
      <c r="U40" s="273">
        <v>350</v>
      </c>
      <c r="V40" s="259">
        <f>T40*U40</f>
        <v>35000</v>
      </c>
      <c r="W40" s="274">
        <v>200</v>
      </c>
      <c r="X40" s="274">
        <v>1200</v>
      </c>
      <c r="Y40" s="259">
        <f>W40*X40</f>
        <v>240000</v>
      </c>
      <c r="Z40" s="275"/>
      <c r="AA40" s="275"/>
      <c r="AB40" s="260">
        <f>Z40*AA40</f>
        <v>0</v>
      </c>
      <c r="AC40" s="260"/>
      <c r="AD40" s="260"/>
      <c r="AE40" s="419"/>
      <c r="AF40" s="419"/>
      <c r="AG40" s="260">
        <f>AE40*AF40</f>
        <v>0</v>
      </c>
      <c r="AH40" s="419"/>
      <c r="AI40" s="419"/>
      <c r="AJ40" s="260">
        <f>AH40*AI40</f>
        <v>0</v>
      </c>
      <c r="AK40" s="259">
        <v>50000</v>
      </c>
      <c r="AL40" s="259">
        <f>J40+S40+V40+Y40+AB40+AG40+AJ40+AK40+AC40+AD40</f>
        <v>325000</v>
      </c>
      <c r="AM40" s="415">
        <v>30000</v>
      </c>
      <c r="AN40" s="276"/>
      <c r="AO40" s="276"/>
      <c r="AP40" s="276"/>
      <c r="AQ40" s="276"/>
      <c r="AR40" s="262">
        <f>AL40-AM40-AN40-AO40-AP40-AQ40</f>
        <v>295000</v>
      </c>
    </row>
    <row r="41" spans="1:44" ht="52.5" customHeight="1">
      <c r="A41" s="904"/>
      <c r="B41" s="209">
        <v>7.2</v>
      </c>
      <c r="C41" s="750" t="s">
        <v>275</v>
      </c>
      <c r="D41" s="269" t="s">
        <v>186</v>
      </c>
      <c r="E41" s="269" t="s">
        <v>309</v>
      </c>
      <c r="F41" s="253" t="s">
        <v>310</v>
      </c>
      <c r="G41" s="270"/>
      <c r="H41" s="271"/>
      <c r="I41" s="271"/>
      <c r="J41" s="257">
        <f>G41*H41*I41</f>
        <v>0</v>
      </c>
      <c r="K41" s="272"/>
      <c r="L41" s="272"/>
      <c r="M41" s="272"/>
      <c r="N41" s="272"/>
      <c r="O41" s="272"/>
      <c r="P41" s="272"/>
      <c r="Q41" s="272"/>
      <c r="R41" s="272"/>
      <c r="S41" s="258">
        <f>(K41*L41*N41)+(K41*L41*M41*O41)+(K41*L41*M41*P41)+(K41*M41*Q41)+(K41*L41*R41)</f>
        <v>0</v>
      </c>
      <c r="T41" s="273"/>
      <c r="U41" s="273"/>
      <c r="V41" s="259">
        <f>T41*U41</f>
        <v>0</v>
      </c>
      <c r="W41" s="274"/>
      <c r="X41" s="274"/>
      <c r="Y41" s="259">
        <f>W41*X41</f>
        <v>0</v>
      </c>
      <c r="Z41" s="275"/>
      <c r="AA41" s="275"/>
      <c r="AB41" s="260">
        <f>Z41*AA41</f>
        <v>0</v>
      </c>
      <c r="AC41" s="260"/>
      <c r="AD41" s="260"/>
      <c r="AE41" s="419"/>
      <c r="AF41" s="419"/>
      <c r="AG41" s="260">
        <f>AE41*AF41</f>
        <v>0</v>
      </c>
      <c r="AH41" s="419"/>
      <c r="AI41" s="419"/>
      <c r="AJ41" s="260">
        <f>AH41*AI41</f>
        <v>0</v>
      </c>
      <c r="AK41" s="259"/>
      <c r="AL41" s="259">
        <f>J41+S41+V41+Y41+AB41+AG41+AJ41+AK41+AC41+AD41</f>
        <v>0</v>
      </c>
      <c r="AM41" s="415"/>
      <c r="AN41" s="276"/>
      <c r="AO41" s="276"/>
      <c r="AP41" s="276"/>
      <c r="AQ41" s="276"/>
      <c r="AR41" s="262">
        <f>AL41-AM41-AN41-AO41-AP41-AQ41</f>
        <v>0</v>
      </c>
    </row>
    <row r="42" spans="1:45" s="515" customFormat="1" ht="114.75">
      <c r="A42" s="905"/>
      <c r="B42" s="209">
        <v>7.3</v>
      </c>
      <c r="C42" s="209" t="s">
        <v>276</v>
      </c>
      <c r="D42" s="504" t="s">
        <v>187</v>
      </c>
      <c r="E42" s="509" t="s">
        <v>311</v>
      </c>
      <c r="F42" s="510"/>
      <c r="G42" s="270"/>
      <c r="H42" s="271"/>
      <c r="I42" s="271"/>
      <c r="J42" s="511">
        <f>G42*H42*I42</f>
        <v>0</v>
      </c>
      <c r="K42" s="512"/>
      <c r="L42" s="512"/>
      <c r="M42" s="512"/>
      <c r="N42" s="512"/>
      <c r="O42" s="512"/>
      <c r="P42" s="512"/>
      <c r="Q42" s="512"/>
      <c r="R42" s="512"/>
      <c r="S42" s="505"/>
      <c r="T42" s="505"/>
      <c r="U42" s="505"/>
      <c r="V42" s="506">
        <f>T42*U42</f>
        <v>0</v>
      </c>
      <c r="W42" s="507"/>
      <c r="X42" s="507"/>
      <c r="Y42" s="506">
        <f>W42*X42</f>
        <v>0</v>
      </c>
      <c r="Z42" s="507"/>
      <c r="AA42" s="507"/>
      <c r="AB42" s="506">
        <f>Z42*AA42</f>
        <v>0</v>
      </c>
      <c r="AC42" s="506"/>
      <c r="AD42" s="506"/>
      <c r="AE42" s="604"/>
      <c r="AF42" s="604"/>
      <c r="AG42" s="506">
        <f>AE42*AF42</f>
        <v>0</v>
      </c>
      <c r="AH42" s="605"/>
      <c r="AI42" s="605"/>
      <c r="AJ42" s="506">
        <f>AH42*AI42</f>
        <v>0</v>
      </c>
      <c r="AK42" s="508">
        <v>5000</v>
      </c>
      <c r="AL42" s="506">
        <f>J42+S42+V42+Y42+AB42+AG42+AJ42+AK42+AC42+AD42</f>
        <v>5000</v>
      </c>
      <c r="AM42" s="513">
        <v>5000</v>
      </c>
      <c r="AN42" s="507"/>
      <c r="AO42" s="507"/>
      <c r="AP42" s="507"/>
      <c r="AQ42" s="507"/>
      <c r="AR42" s="262">
        <f>AL42-AM42-AN42-AO42-AP42-AQ42</f>
        <v>0</v>
      </c>
      <c r="AS42" s="514"/>
    </row>
    <row r="43" spans="1:44" ht="12.75">
      <c r="A43" s="430"/>
      <c r="B43" s="430"/>
      <c r="C43" s="430"/>
      <c r="D43" s="430"/>
      <c r="E43" s="430"/>
      <c r="F43" s="430"/>
      <c r="G43" s="430"/>
      <c r="H43" s="430"/>
      <c r="I43" s="430"/>
      <c r="J43" s="430"/>
      <c r="K43" s="430">
        <f aca="true" t="shared" si="13" ref="K43:AR43">SUM(K39:K42)</f>
        <v>0</v>
      </c>
      <c r="L43" s="430">
        <f t="shared" si="13"/>
        <v>0</v>
      </c>
      <c r="M43" s="430">
        <f t="shared" si="13"/>
        <v>0</v>
      </c>
      <c r="N43" s="430">
        <f t="shared" si="13"/>
        <v>0</v>
      </c>
      <c r="O43" s="430">
        <f t="shared" si="13"/>
        <v>0</v>
      </c>
      <c r="P43" s="430">
        <f t="shared" si="13"/>
        <v>0</v>
      </c>
      <c r="Q43" s="430">
        <f t="shared" si="13"/>
        <v>0</v>
      </c>
      <c r="R43" s="430">
        <f t="shared" si="13"/>
        <v>0</v>
      </c>
      <c r="S43" s="430">
        <f t="shared" si="13"/>
        <v>0</v>
      </c>
      <c r="T43" s="430"/>
      <c r="U43" s="430"/>
      <c r="V43" s="430">
        <f t="shared" si="13"/>
        <v>105000</v>
      </c>
      <c r="W43" s="430"/>
      <c r="X43" s="430"/>
      <c r="Y43" s="430">
        <f t="shared" si="13"/>
        <v>600000</v>
      </c>
      <c r="Z43" s="430">
        <f t="shared" si="13"/>
        <v>0</v>
      </c>
      <c r="AA43" s="430">
        <f t="shared" si="13"/>
        <v>0</v>
      </c>
      <c r="AB43" s="430">
        <f t="shared" si="13"/>
        <v>0</v>
      </c>
      <c r="AC43" s="430">
        <f t="shared" si="13"/>
        <v>0</v>
      </c>
      <c r="AD43" s="430">
        <f t="shared" si="13"/>
        <v>0</v>
      </c>
      <c r="AE43" s="430">
        <f t="shared" si="13"/>
        <v>0</v>
      </c>
      <c r="AF43" s="430">
        <f t="shared" si="13"/>
        <v>0</v>
      </c>
      <c r="AG43" s="430">
        <f t="shared" si="13"/>
        <v>0</v>
      </c>
      <c r="AH43" s="430">
        <f t="shared" si="13"/>
        <v>0</v>
      </c>
      <c r="AI43" s="430">
        <f t="shared" si="13"/>
        <v>0</v>
      </c>
      <c r="AJ43" s="430">
        <f t="shared" si="13"/>
        <v>0</v>
      </c>
      <c r="AK43" s="430">
        <f t="shared" si="13"/>
        <v>105000</v>
      </c>
      <c r="AL43" s="430">
        <f t="shared" si="13"/>
        <v>810000</v>
      </c>
      <c r="AM43" s="430">
        <f>SUM(AM39:AM42)</f>
        <v>85000</v>
      </c>
      <c r="AN43" s="430">
        <f t="shared" si="13"/>
        <v>0</v>
      </c>
      <c r="AO43" s="430">
        <f t="shared" si="13"/>
        <v>0</v>
      </c>
      <c r="AP43" s="430">
        <f t="shared" si="13"/>
        <v>0</v>
      </c>
      <c r="AQ43" s="430">
        <f t="shared" si="13"/>
        <v>0</v>
      </c>
      <c r="AR43" s="430">
        <f t="shared" si="13"/>
        <v>725000</v>
      </c>
    </row>
    <row r="44" spans="1:45" s="452" customFormat="1" ht="12.75">
      <c r="A44" s="444"/>
      <c r="B44" s="444"/>
      <c r="C44" s="445"/>
      <c r="D44" s="446"/>
      <c r="E44" s="612"/>
      <c r="F44" s="447"/>
      <c r="G44" s="448"/>
      <c r="H44" s="449"/>
      <c r="I44" s="449"/>
      <c r="J44" s="450">
        <f aca="true" t="shared" si="14" ref="J44:S44">J15+J37+J43</f>
        <v>0</v>
      </c>
      <c r="K44" s="450">
        <f t="shared" si="14"/>
        <v>0</v>
      </c>
      <c r="L44" s="450">
        <f t="shared" si="14"/>
        <v>0</v>
      </c>
      <c r="M44" s="450">
        <f t="shared" si="14"/>
        <v>0</v>
      </c>
      <c r="N44" s="450">
        <f t="shared" si="14"/>
        <v>0</v>
      </c>
      <c r="O44" s="450">
        <f t="shared" si="14"/>
        <v>0</v>
      </c>
      <c r="P44" s="450">
        <f t="shared" si="14"/>
        <v>0</v>
      </c>
      <c r="Q44" s="450">
        <f t="shared" si="14"/>
        <v>0</v>
      </c>
      <c r="R44" s="450">
        <f t="shared" si="14"/>
        <v>0</v>
      </c>
      <c r="S44" s="450">
        <f t="shared" si="14"/>
        <v>267375</v>
      </c>
      <c r="T44" s="450"/>
      <c r="U44" s="450"/>
      <c r="V44" s="450">
        <f>V15+V37+V43</f>
        <v>661050</v>
      </c>
      <c r="W44" s="450"/>
      <c r="X44" s="450"/>
      <c r="Y44" s="450">
        <f aca="true" t="shared" si="15" ref="Y44:AR44">Y15+Y37+Y43</f>
        <v>3374000</v>
      </c>
      <c r="Z44" s="450">
        <f t="shared" si="15"/>
        <v>0</v>
      </c>
      <c r="AA44" s="450">
        <f t="shared" si="15"/>
        <v>0</v>
      </c>
      <c r="AB44" s="450">
        <f t="shared" si="15"/>
        <v>20000</v>
      </c>
      <c r="AC44" s="450">
        <f t="shared" si="15"/>
        <v>0</v>
      </c>
      <c r="AD44" s="450">
        <f t="shared" si="15"/>
        <v>613000</v>
      </c>
      <c r="AE44" s="450">
        <f t="shared" si="15"/>
        <v>0</v>
      </c>
      <c r="AF44" s="450">
        <f t="shared" si="15"/>
        <v>0</v>
      </c>
      <c r="AG44" s="450">
        <f t="shared" si="15"/>
        <v>200000</v>
      </c>
      <c r="AH44" s="450">
        <f t="shared" si="15"/>
        <v>0</v>
      </c>
      <c r="AI44" s="450">
        <f t="shared" si="15"/>
        <v>0</v>
      </c>
      <c r="AJ44" s="450">
        <f t="shared" si="15"/>
        <v>0</v>
      </c>
      <c r="AK44" s="450">
        <f t="shared" si="15"/>
        <v>684000</v>
      </c>
      <c r="AL44" s="450">
        <f t="shared" si="15"/>
        <v>5819425</v>
      </c>
      <c r="AM44" s="450">
        <f t="shared" si="15"/>
        <v>405000</v>
      </c>
      <c r="AN44" s="450">
        <f t="shared" si="15"/>
        <v>1200000</v>
      </c>
      <c r="AO44" s="450">
        <f t="shared" si="15"/>
        <v>50000</v>
      </c>
      <c r="AP44" s="450">
        <f t="shared" si="15"/>
        <v>348000</v>
      </c>
      <c r="AQ44" s="450">
        <f t="shared" si="15"/>
        <v>0</v>
      </c>
      <c r="AR44" s="450">
        <f t="shared" si="15"/>
        <v>3816425</v>
      </c>
      <c r="AS44" s="451"/>
    </row>
    <row r="46" spans="38:39" ht="12.75">
      <c r="AL46" s="325">
        <f>J44+S44+V44+Y44+AB44+AD44+AG44+AK44</f>
        <v>5819425</v>
      </c>
      <c r="AM46" s="417">
        <f>AL44-AL46</f>
        <v>0</v>
      </c>
    </row>
    <row r="47" ht="12.75" customHeight="1"/>
  </sheetData>
  <sheetProtection/>
  <mergeCells count="46">
    <mergeCell ref="AM3:AR5"/>
    <mergeCell ref="W5:Y5"/>
    <mergeCell ref="C39:C40"/>
    <mergeCell ref="AC3:AJ4"/>
    <mergeCell ref="Z4:AB5"/>
    <mergeCell ref="AK3:AK6"/>
    <mergeCell ref="T4:Y4"/>
    <mergeCell ref="AC5:AC6"/>
    <mergeCell ref="AD5:AD6"/>
    <mergeCell ref="AL3:AL6"/>
    <mergeCell ref="D4:E6"/>
    <mergeCell ref="G4:J5"/>
    <mergeCell ref="K4:S5"/>
    <mergeCell ref="F5:F6"/>
    <mergeCell ref="AE5:AG5"/>
    <mergeCell ref="AH5:AJ5"/>
    <mergeCell ref="C9:C12"/>
    <mergeCell ref="B9:B12"/>
    <mergeCell ref="T5:V5"/>
    <mergeCell ref="A16:AR16"/>
    <mergeCell ref="A8:AR8"/>
    <mergeCell ref="A9:A14"/>
    <mergeCell ref="C13:C14"/>
    <mergeCell ref="B13:B14"/>
    <mergeCell ref="A4:A6"/>
    <mergeCell ref="B4:C6"/>
    <mergeCell ref="C28:C29"/>
    <mergeCell ref="B32:B35"/>
    <mergeCell ref="B2:P2"/>
    <mergeCell ref="A3:E3"/>
    <mergeCell ref="G3:J3"/>
    <mergeCell ref="K3:AB3"/>
    <mergeCell ref="C32:C35"/>
    <mergeCell ref="B22:B23"/>
    <mergeCell ref="C22:C23"/>
    <mergeCell ref="B24:B27"/>
    <mergeCell ref="A39:A42"/>
    <mergeCell ref="A18:A35"/>
    <mergeCell ref="B18:B20"/>
    <mergeCell ref="B39:B40"/>
    <mergeCell ref="C30:C31"/>
    <mergeCell ref="C24:C27"/>
    <mergeCell ref="B30:B31"/>
    <mergeCell ref="C18:C20"/>
    <mergeCell ref="A38:AR38"/>
    <mergeCell ref="B28:B29"/>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B52"/>
  <sheetViews>
    <sheetView zoomScalePageLayoutView="0" workbookViewId="0" topLeftCell="A1">
      <selection activeCell="G5" sqref="G5:G6"/>
    </sheetView>
  </sheetViews>
  <sheetFormatPr defaultColWidth="9.140625" defaultRowHeight="16.5" customHeight="1"/>
  <cols>
    <col min="1" max="1" width="6.7109375" style="23" customWidth="1"/>
    <col min="2" max="2" width="15.421875" style="24" customWidth="1"/>
    <col min="3" max="3" width="4.7109375" style="3" customWidth="1"/>
    <col min="4" max="4" width="25.28125" style="62" customWidth="1"/>
    <col min="5" max="5" width="6.7109375" style="40" customWidth="1"/>
    <col min="6" max="6" width="19.7109375" style="10" customWidth="1"/>
    <col min="7" max="7" width="16.7109375" style="10" customWidth="1"/>
    <col min="8" max="8" width="5.8515625" style="41" customWidth="1"/>
    <col min="9" max="9" width="7.7109375" style="11" customWidth="1"/>
    <col min="10" max="10" width="7.28125" style="11" customWidth="1"/>
    <col min="11" max="11" width="9.7109375" style="41" customWidth="1"/>
    <col min="12" max="12" width="11.7109375" style="1" customWidth="1"/>
    <col min="13" max="13" width="9.57421875" style="1" customWidth="1"/>
    <col min="14" max="14" width="10.8515625" style="1" customWidth="1"/>
    <col min="15" max="15" width="11.8515625" style="1" customWidth="1"/>
    <col min="16" max="16" width="14.140625" style="1" customWidth="1"/>
    <col min="17" max="17" width="12.140625" style="1" customWidth="1"/>
    <col min="18" max="18" width="11.57421875" style="1" customWidth="1"/>
    <col min="19" max="19" width="12.8515625" style="1" customWidth="1"/>
    <col min="20" max="20" width="15.28125" style="36" customWidth="1"/>
    <col min="21" max="21" width="8.00390625" style="36" customWidth="1"/>
    <col min="22" max="22" width="8.57421875" style="36" customWidth="1"/>
    <col min="23" max="23" width="9.7109375" style="36" customWidth="1"/>
    <col min="24" max="24" width="14.00390625" style="35" customWidth="1"/>
    <col min="25" max="25" width="11.00390625" style="35" customWidth="1"/>
    <col min="26" max="26" width="10.28125" style="35" customWidth="1"/>
    <col min="27" max="27" width="9.28125" style="35" customWidth="1"/>
    <col min="28" max="28" width="10.28125" style="35" customWidth="1"/>
    <col min="29" max="29" width="8.28125" style="35" customWidth="1"/>
    <col min="30" max="30" width="15.28125" style="35" customWidth="1"/>
    <col min="31" max="31" width="15.140625" style="35" customWidth="1"/>
    <col min="32" max="32" width="7.28125" style="35" customWidth="1"/>
    <col min="33" max="33" width="13.140625" style="35" customWidth="1"/>
    <col min="34" max="34" width="9.28125" style="35" customWidth="1"/>
    <col min="35" max="35" width="6.8515625" style="35" customWidth="1"/>
    <col min="36" max="36" width="11.00390625" style="35" customWidth="1"/>
    <col min="37" max="37" width="10.7109375" style="35" customWidth="1"/>
    <col min="38" max="38" width="13.57421875" style="60" customWidth="1"/>
    <col min="39" max="39" width="10.57421875" style="35" customWidth="1"/>
    <col min="40" max="40" width="12.421875" style="35" customWidth="1"/>
    <col min="41" max="43" width="15.7109375" style="35" customWidth="1"/>
    <col min="44" max="44" width="10.28125" style="35" customWidth="1"/>
    <col min="45" max="45" width="12.28125" style="38" customWidth="1"/>
    <col min="46" max="46" width="3.7109375" style="3" customWidth="1"/>
    <col min="47" max="47" width="10.7109375" style="35" customWidth="1"/>
    <col min="48" max="48" width="12.00390625" style="35" customWidth="1"/>
    <col min="49" max="52" width="11.00390625" style="35" customWidth="1"/>
    <col min="53" max="53" width="12.28125" style="3" customWidth="1"/>
    <col min="54" max="54" width="2.28125" style="45" customWidth="1"/>
    <col min="55" max="16384" width="9.140625" style="3" customWidth="1"/>
  </cols>
  <sheetData>
    <row r="1" spans="1:52" s="45" customFormat="1" ht="16.5" customHeight="1">
      <c r="A1" s="55"/>
      <c r="B1" s="57"/>
      <c r="D1" s="61"/>
      <c r="E1" s="46"/>
      <c r="F1" s="47"/>
      <c r="G1" s="47"/>
      <c r="H1" s="48"/>
      <c r="I1" s="49"/>
      <c r="J1" s="49"/>
      <c r="K1" s="48"/>
      <c r="L1" s="50"/>
      <c r="M1" s="50"/>
      <c r="N1" s="50"/>
      <c r="O1" s="50"/>
      <c r="P1" s="50"/>
      <c r="Q1" s="50"/>
      <c r="R1" s="50"/>
      <c r="S1" s="50"/>
      <c r="T1" s="51"/>
      <c r="U1" s="51"/>
      <c r="V1" s="51"/>
      <c r="W1" s="51"/>
      <c r="X1" s="52"/>
      <c r="Y1" s="52"/>
      <c r="Z1" s="52"/>
      <c r="AA1" s="52"/>
      <c r="AB1" s="52"/>
      <c r="AC1" s="52"/>
      <c r="AD1" s="52"/>
      <c r="AE1" s="52"/>
      <c r="AF1" s="52"/>
      <c r="AG1" s="52"/>
      <c r="AH1" s="52"/>
      <c r="AI1" s="52"/>
      <c r="AJ1" s="52"/>
      <c r="AK1" s="52"/>
      <c r="AL1" s="59"/>
      <c r="AM1" s="52"/>
      <c r="AN1" s="52"/>
      <c r="AO1" s="52"/>
      <c r="AP1" s="52"/>
      <c r="AQ1" s="52"/>
      <c r="AR1" s="52"/>
      <c r="AS1" s="53"/>
      <c r="AU1" s="52"/>
      <c r="AV1" s="52"/>
      <c r="AW1" s="52"/>
      <c r="AX1" s="52"/>
      <c r="AY1" s="52"/>
      <c r="AZ1" s="52"/>
    </row>
    <row r="2" spans="1:52" s="45" customFormat="1" ht="16.5" customHeight="1" thickBot="1">
      <c r="A2" s="56"/>
      <c r="B2" s="1051" t="s">
        <v>318</v>
      </c>
      <c r="C2" s="1051"/>
      <c r="D2" s="1051"/>
      <c r="E2" s="1051"/>
      <c r="F2" s="1051"/>
      <c r="G2" s="1051"/>
      <c r="H2" s="1051"/>
      <c r="I2" s="1051"/>
      <c r="J2" s="1051"/>
      <c r="K2" s="1051"/>
      <c r="L2" s="1051"/>
      <c r="M2" s="1051"/>
      <c r="N2" s="1051"/>
      <c r="O2" s="1051"/>
      <c r="P2" s="1051"/>
      <c r="Q2" s="1051"/>
      <c r="R2" s="54"/>
      <c r="S2" s="54"/>
      <c r="T2" s="54"/>
      <c r="U2" s="54"/>
      <c r="V2" s="54"/>
      <c r="W2" s="54"/>
      <c r="X2" s="54"/>
      <c r="Y2" s="54"/>
      <c r="Z2" s="54"/>
      <c r="AA2" s="54"/>
      <c r="AB2" s="54"/>
      <c r="AC2" s="54"/>
      <c r="AD2" s="54"/>
      <c r="AE2" s="54"/>
      <c r="AF2" s="54"/>
      <c r="AG2" s="54"/>
      <c r="AH2" s="54"/>
      <c r="AI2" s="54"/>
      <c r="AJ2" s="54"/>
      <c r="AK2" s="54"/>
      <c r="AL2" s="54"/>
      <c r="AM2" s="52"/>
      <c r="AN2" s="52"/>
      <c r="AO2" s="52"/>
      <c r="AP2" s="52"/>
      <c r="AQ2" s="52"/>
      <c r="AR2" s="52"/>
      <c r="AS2" s="53"/>
      <c r="AU2" s="52"/>
      <c r="AV2" s="52"/>
      <c r="AW2" s="52"/>
      <c r="AX2" s="52"/>
      <c r="AY2" s="52"/>
      <c r="AZ2" s="52"/>
    </row>
    <row r="3" spans="1:54" s="67" customFormat="1" ht="39" customHeight="1">
      <c r="A3" s="1052"/>
      <c r="B3" s="1053"/>
      <c r="C3" s="1053"/>
      <c r="D3" s="1053"/>
      <c r="E3" s="1053"/>
      <c r="F3" s="1054"/>
      <c r="G3" s="656"/>
      <c r="H3" s="1055" t="s">
        <v>228</v>
      </c>
      <c r="I3" s="1056"/>
      <c r="J3" s="1056"/>
      <c r="K3" s="1057"/>
      <c r="L3" s="1055" t="s">
        <v>33</v>
      </c>
      <c r="M3" s="1056"/>
      <c r="N3" s="1056"/>
      <c r="O3" s="1056"/>
      <c r="P3" s="1056"/>
      <c r="Q3" s="1056"/>
      <c r="R3" s="1056"/>
      <c r="S3" s="1056"/>
      <c r="T3" s="1056"/>
      <c r="U3" s="1056"/>
      <c r="V3" s="1056"/>
      <c r="W3" s="1056"/>
      <c r="X3" s="1056"/>
      <c r="Y3" s="1056"/>
      <c r="Z3" s="1056"/>
      <c r="AA3" s="1056"/>
      <c r="AB3" s="1056"/>
      <c r="AC3" s="1057"/>
      <c r="AD3" s="1023" t="s">
        <v>322</v>
      </c>
      <c r="AE3" s="1024"/>
      <c r="AF3" s="1024"/>
      <c r="AG3" s="1024"/>
      <c r="AH3" s="1024"/>
      <c r="AI3" s="1024"/>
      <c r="AJ3" s="1024"/>
      <c r="AK3" s="1025"/>
      <c r="AL3" s="1029" t="s">
        <v>259</v>
      </c>
      <c r="AM3" s="1029" t="s">
        <v>258</v>
      </c>
      <c r="AN3" s="1061" t="s">
        <v>325</v>
      </c>
      <c r="AO3" s="1061"/>
      <c r="AP3" s="1061"/>
      <c r="AQ3" s="1061"/>
      <c r="AR3" s="1061"/>
      <c r="AS3" s="1062"/>
      <c r="AU3" s="1065" t="s">
        <v>326</v>
      </c>
      <c r="AV3" s="1066"/>
      <c r="AW3" s="1066"/>
      <c r="AX3" s="1066"/>
      <c r="AY3" s="1066"/>
      <c r="AZ3" s="1066"/>
      <c r="BA3" s="1067"/>
      <c r="BB3" s="210"/>
    </row>
    <row r="4" spans="1:54" s="68" customFormat="1" ht="16.5" customHeight="1">
      <c r="A4" s="1009" t="s">
        <v>12</v>
      </c>
      <c r="B4" s="1074" t="s">
        <v>319</v>
      </c>
      <c r="C4" s="1075" t="s">
        <v>229</v>
      </c>
      <c r="D4" s="1076"/>
      <c r="E4" s="1075" t="s">
        <v>230</v>
      </c>
      <c r="F4" s="1076"/>
      <c r="G4" s="755"/>
      <c r="H4" s="1042" t="s">
        <v>232</v>
      </c>
      <c r="I4" s="1043"/>
      <c r="J4" s="1043"/>
      <c r="K4" s="1044"/>
      <c r="L4" s="1042" t="s">
        <v>237</v>
      </c>
      <c r="M4" s="1043"/>
      <c r="N4" s="1043"/>
      <c r="O4" s="1043"/>
      <c r="P4" s="1043"/>
      <c r="Q4" s="1043"/>
      <c r="R4" s="1043"/>
      <c r="S4" s="1043"/>
      <c r="T4" s="1044"/>
      <c r="U4" s="1015" t="s">
        <v>312</v>
      </c>
      <c r="V4" s="1016"/>
      <c r="W4" s="1016"/>
      <c r="X4" s="1016"/>
      <c r="Y4" s="1016"/>
      <c r="Z4" s="1017"/>
      <c r="AA4" s="1034" t="s">
        <v>247</v>
      </c>
      <c r="AB4" s="1035"/>
      <c r="AC4" s="1036"/>
      <c r="AD4" s="1026"/>
      <c r="AE4" s="1027"/>
      <c r="AF4" s="1027"/>
      <c r="AG4" s="1027"/>
      <c r="AH4" s="1027"/>
      <c r="AI4" s="1027"/>
      <c r="AJ4" s="1027"/>
      <c r="AK4" s="1028"/>
      <c r="AL4" s="1030"/>
      <c r="AM4" s="1030"/>
      <c r="AN4" s="1063"/>
      <c r="AO4" s="1063"/>
      <c r="AP4" s="1063"/>
      <c r="AQ4" s="1063"/>
      <c r="AR4" s="1063"/>
      <c r="AS4" s="1064"/>
      <c r="AU4" s="1068"/>
      <c r="AV4" s="1069"/>
      <c r="AW4" s="1069"/>
      <c r="AX4" s="1069"/>
      <c r="AY4" s="1069"/>
      <c r="AZ4" s="1069"/>
      <c r="BA4" s="1070"/>
      <c r="BB4" s="211"/>
    </row>
    <row r="5" spans="1:54" s="68" customFormat="1" ht="16.5" customHeight="1" thickBot="1">
      <c r="A5" s="1010"/>
      <c r="B5" s="1040"/>
      <c r="C5" s="1077"/>
      <c r="D5" s="1078"/>
      <c r="E5" s="1077"/>
      <c r="F5" s="1078"/>
      <c r="G5" s="1040" t="s">
        <v>231</v>
      </c>
      <c r="H5" s="1045"/>
      <c r="I5" s="1046"/>
      <c r="J5" s="1046"/>
      <c r="K5" s="1047"/>
      <c r="L5" s="1048"/>
      <c r="M5" s="1049"/>
      <c r="N5" s="1049"/>
      <c r="O5" s="1049"/>
      <c r="P5" s="1049"/>
      <c r="Q5" s="1049"/>
      <c r="R5" s="1049"/>
      <c r="S5" s="1049"/>
      <c r="T5" s="1050"/>
      <c r="U5" s="1015" t="s">
        <v>244</v>
      </c>
      <c r="V5" s="1016"/>
      <c r="W5" s="1017"/>
      <c r="X5" s="1015" t="s">
        <v>245</v>
      </c>
      <c r="Y5" s="1016"/>
      <c r="Z5" s="1017"/>
      <c r="AA5" s="1037"/>
      <c r="AB5" s="1038"/>
      <c r="AC5" s="1039"/>
      <c r="AD5" s="1032" t="s">
        <v>323</v>
      </c>
      <c r="AE5" s="1032" t="s">
        <v>250</v>
      </c>
      <c r="AF5" s="1015" t="s">
        <v>253</v>
      </c>
      <c r="AG5" s="1016"/>
      <c r="AH5" s="1017"/>
      <c r="AI5" s="1015" t="s">
        <v>256</v>
      </c>
      <c r="AJ5" s="1016"/>
      <c r="AK5" s="1017"/>
      <c r="AL5" s="1030"/>
      <c r="AM5" s="1030"/>
      <c r="AN5" s="1063"/>
      <c r="AO5" s="1063"/>
      <c r="AP5" s="1063"/>
      <c r="AQ5" s="1063"/>
      <c r="AR5" s="1063"/>
      <c r="AS5" s="1064"/>
      <c r="AU5" s="1071"/>
      <c r="AV5" s="1072"/>
      <c r="AW5" s="1072"/>
      <c r="AX5" s="1072"/>
      <c r="AY5" s="1072"/>
      <c r="AZ5" s="1072"/>
      <c r="BA5" s="1073"/>
      <c r="BB5" s="212"/>
    </row>
    <row r="6" spans="1:54" s="64" customFormat="1" ht="44.25" customHeight="1" thickBot="1">
      <c r="A6" s="1011"/>
      <c r="B6" s="1041"/>
      <c r="C6" s="1079"/>
      <c r="D6" s="1080"/>
      <c r="E6" s="1079"/>
      <c r="F6" s="1080"/>
      <c r="G6" s="1041"/>
      <c r="H6" s="753" t="s">
        <v>320</v>
      </c>
      <c r="I6" s="659" t="s">
        <v>234</v>
      </c>
      <c r="J6" s="659" t="s">
        <v>235</v>
      </c>
      <c r="K6" s="659" t="s">
        <v>236</v>
      </c>
      <c r="L6" s="659" t="s">
        <v>238</v>
      </c>
      <c r="M6" s="659" t="s">
        <v>239</v>
      </c>
      <c r="N6" s="659" t="s">
        <v>240</v>
      </c>
      <c r="O6" s="659" t="s">
        <v>241</v>
      </c>
      <c r="P6" s="659" t="s">
        <v>314</v>
      </c>
      <c r="Q6" s="659" t="s">
        <v>315</v>
      </c>
      <c r="R6" s="659" t="s">
        <v>242</v>
      </c>
      <c r="S6" s="659" t="s">
        <v>321</v>
      </c>
      <c r="T6" s="660" t="e">
        <f>(L6*M6*O6)+(L6*M6*N6*P6)+(L6*M6*N6*Q6)+(L6*N6*R6)+(L6*M6*S6)</f>
        <v>#VALUE!</v>
      </c>
      <c r="U6" s="659" t="s">
        <v>246</v>
      </c>
      <c r="V6" s="753" t="s">
        <v>0</v>
      </c>
      <c r="W6" s="753" t="s">
        <v>2</v>
      </c>
      <c r="X6" s="659" t="s">
        <v>246</v>
      </c>
      <c r="Y6" s="753" t="s">
        <v>0</v>
      </c>
      <c r="Z6" s="753" t="s">
        <v>1</v>
      </c>
      <c r="AA6" s="753" t="s">
        <v>248</v>
      </c>
      <c r="AB6" s="753" t="s">
        <v>249</v>
      </c>
      <c r="AC6" s="753" t="s">
        <v>1</v>
      </c>
      <c r="AD6" s="1033"/>
      <c r="AE6" s="1033"/>
      <c r="AF6" s="753" t="s">
        <v>254</v>
      </c>
      <c r="AG6" s="753" t="s">
        <v>324</v>
      </c>
      <c r="AH6" s="753" t="s">
        <v>243</v>
      </c>
      <c r="AI6" s="753" t="s">
        <v>257</v>
      </c>
      <c r="AJ6" s="753" t="s">
        <v>255</v>
      </c>
      <c r="AK6" s="753" t="s">
        <v>243</v>
      </c>
      <c r="AL6" s="1031"/>
      <c r="AM6" s="1031"/>
      <c r="AN6" s="752" t="s">
        <v>261</v>
      </c>
      <c r="AO6" s="359" t="s">
        <v>152</v>
      </c>
      <c r="AP6" s="359" t="s">
        <v>204</v>
      </c>
      <c r="AQ6" s="359" t="s">
        <v>205</v>
      </c>
      <c r="AR6" s="359" t="s">
        <v>206</v>
      </c>
      <c r="AS6" s="63" t="s">
        <v>262</v>
      </c>
      <c r="AU6" s="65" t="s">
        <v>327</v>
      </c>
      <c r="AV6" s="752" t="s">
        <v>328</v>
      </c>
      <c r="AW6" s="164" t="s">
        <v>152</v>
      </c>
      <c r="AX6" s="348" t="s">
        <v>208</v>
      </c>
      <c r="AY6" s="348" t="s">
        <v>205</v>
      </c>
      <c r="AZ6" s="348" t="s">
        <v>206</v>
      </c>
      <c r="BA6" s="164" t="s">
        <v>262</v>
      </c>
      <c r="BB6" s="213"/>
    </row>
    <row r="7" spans="1:54" s="69" customFormat="1" ht="16.5" customHeight="1" thickBot="1">
      <c r="A7" s="661" t="s">
        <v>5</v>
      </c>
      <c r="B7" s="662" t="s">
        <v>6</v>
      </c>
      <c r="C7" s="663" t="s">
        <v>7</v>
      </c>
      <c r="D7" s="664" t="s">
        <v>8</v>
      </c>
      <c r="E7" s="663" t="s">
        <v>9</v>
      </c>
      <c r="F7" s="665" t="s">
        <v>10</v>
      </c>
      <c r="G7" s="665"/>
      <c r="H7" s="666">
        <v>1</v>
      </c>
      <c r="I7" s="666">
        <v>2</v>
      </c>
      <c r="J7" s="666">
        <v>3</v>
      </c>
      <c r="K7" s="666" t="s">
        <v>4</v>
      </c>
      <c r="L7" s="666">
        <v>11</v>
      </c>
      <c r="M7" s="666"/>
      <c r="N7" s="666">
        <v>12</v>
      </c>
      <c r="O7" s="666">
        <v>13</v>
      </c>
      <c r="P7" s="666">
        <v>14</v>
      </c>
      <c r="Q7" s="666">
        <v>15</v>
      </c>
      <c r="R7" s="666">
        <v>16</v>
      </c>
      <c r="S7" s="666"/>
      <c r="T7" s="660">
        <f aca="true" t="shared" si="0" ref="T7:T16">(L7*M7*O7)+(L7*M7*N7*P7)+(L7*M7*N7*Q7)+(L7*N7*R7)+(L7*M7*S7)</f>
        <v>2112</v>
      </c>
      <c r="U7" s="666">
        <v>14</v>
      </c>
      <c r="V7" s="666">
        <v>15</v>
      </c>
      <c r="W7" s="667">
        <v>16</v>
      </c>
      <c r="X7" s="666">
        <v>17</v>
      </c>
      <c r="Y7" s="666">
        <v>18</v>
      </c>
      <c r="Z7" s="667">
        <v>20</v>
      </c>
      <c r="AA7" s="666">
        <v>30</v>
      </c>
      <c r="AB7" s="666">
        <v>31</v>
      </c>
      <c r="AC7" s="666">
        <v>32</v>
      </c>
      <c r="AD7" s="666">
        <v>34</v>
      </c>
      <c r="AE7" s="666"/>
      <c r="AF7" s="666">
        <v>21</v>
      </c>
      <c r="AG7" s="666">
        <v>22</v>
      </c>
      <c r="AH7" s="666">
        <v>23</v>
      </c>
      <c r="AI7" s="666">
        <v>24</v>
      </c>
      <c r="AJ7" s="666">
        <v>25</v>
      </c>
      <c r="AK7" s="666">
        <v>26</v>
      </c>
      <c r="AL7" s="103">
        <v>41</v>
      </c>
      <c r="AM7" s="103">
        <v>42</v>
      </c>
      <c r="AN7" s="102">
        <v>43</v>
      </c>
      <c r="AO7" s="102">
        <v>44</v>
      </c>
      <c r="AP7" s="102"/>
      <c r="AQ7" s="102"/>
      <c r="AR7" s="102">
        <v>45</v>
      </c>
      <c r="AS7" s="104">
        <v>46</v>
      </c>
      <c r="AU7" s="105"/>
      <c r="AV7" s="105"/>
      <c r="AW7" s="106"/>
      <c r="AX7" s="106"/>
      <c r="AY7" s="106"/>
      <c r="AZ7" s="106"/>
      <c r="BA7" s="106"/>
      <c r="BB7" s="214"/>
    </row>
    <row r="8" spans="1:54" s="68" customFormat="1" ht="83.25" customHeight="1" thickBot="1">
      <c r="A8" s="984">
        <v>1</v>
      </c>
      <c r="B8" s="993" t="s">
        <v>329</v>
      </c>
      <c r="C8" s="993">
        <v>1.1</v>
      </c>
      <c r="D8" s="1001" t="s">
        <v>330</v>
      </c>
      <c r="E8" s="107" t="s">
        <v>17</v>
      </c>
      <c r="F8" s="432" t="s">
        <v>335</v>
      </c>
      <c r="G8" s="107"/>
      <c r="H8" s="130"/>
      <c r="I8" s="131"/>
      <c r="J8" s="131"/>
      <c r="K8" s="132">
        <f aca="true" t="shared" si="1" ref="K8:K14">H8*I8*J8</f>
        <v>0</v>
      </c>
      <c r="L8" s="133"/>
      <c r="M8" s="133"/>
      <c r="N8" s="133"/>
      <c r="O8" s="133"/>
      <c r="P8" s="133"/>
      <c r="Q8" s="133"/>
      <c r="R8" s="133"/>
      <c r="S8" s="133"/>
      <c r="T8" s="70">
        <f t="shared" si="0"/>
        <v>0</v>
      </c>
      <c r="U8" s="71"/>
      <c r="V8" s="71"/>
      <c r="W8" s="70">
        <f aca="true" t="shared" si="2" ref="W8:W14">U8*V8</f>
        <v>0</v>
      </c>
      <c r="X8" s="71" t="s">
        <v>33</v>
      </c>
      <c r="Y8" s="71"/>
      <c r="Z8" s="70">
        <v>14242</v>
      </c>
      <c r="AA8" s="72"/>
      <c r="AB8" s="72"/>
      <c r="AC8" s="70">
        <f aca="true" t="shared" si="3" ref="AC8:AC14">AA8*AB8</f>
        <v>0</v>
      </c>
      <c r="AD8" s="70"/>
      <c r="AE8" s="70"/>
      <c r="AF8" s="91"/>
      <c r="AG8" s="91"/>
      <c r="AH8" s="70">
        <f aca="true" t="shared" si="4" ref="AH8:AH14">AF8*AG8</f>
        <v>0</v>
      </c>
      <c r="AI8" s="91"/>
      <c r="AJ8" s="91"/>
      <c r="AK8" s="70">
        <f aca="true" t="shared" si="5" ref="AK8:AK14">AI8*AJ8</f>
        <v>0</v>
      </c>
      <c r="AL8" s="70"/>
      <c r="AM8" s="70">
        <f>K8+T8+W8+Z8+AC8+AH8+AK8+AL8+AD8+AE8</f>
        <v>14242</v>
      </c>
      <c r="AN8" s="73"/>
      <c r="AO8" s="76">
        <v>14242</v>
      </c>
      <c r="AP8" s="90" t="s">
        <v>33</v>
      </c>
      <c r="AQ8" s="90"/>
      <c r="AR8" s="73"/>
      <c r="AS8" s="74">
        <f>AM8-AN8-AO8-AR8</f>
        <v>0</v>
      </c>
      <c r="AU8" s="973">
        <f>AM8+AM9</f>
        <v>119992</v>
      </c>
      <c r="AV8" s="973">
        <f>AN8+AN9</f>
        <v>35610</v>
      </c>
      <c r="AW8" s="973">
        <f>AO8+AO9</f>
        <v>84382</v>
      </c>
      <c r="AX8" s="973">
        <f>AR8+AR9</f>
        <v>0</v>
      </c>
      <c r="AY8" s="973">
        <f>AS8+AS9</f>
        <v>0</v>
      </c>
      <c r="AZ8" s="973">
        <f>AR8+AR9</f>
        <v>0</v>
      </c>
      <c r="BA8" s="973">
        <f>AU8-AV8-AW8</f>
        <v>0</v>
      </c>
      <c r="BB8" s="215"/>
    </row>
    <row r="9" spans="1:54" s="78" customFormat="1" ht="24.75" customHeight="1" thickBot="1">
      <c r="A9" s="985"/>
      <c r="B9" s="994"/>
      <c r="C9" s="994"/>
      <c r="D9" s="1003"/>
      <c r="E9" s="108" t="s">
        <v>30</v>
      </c>
      <c r="F9" s="433" t="s">
        <v>336</v>
      </c>
      <c r="G9" s="108"/>
      <c r="H9" s="37"/>
      <c r="I9" s="2"/>
      <c r="J9" s="2"/>
      <c r="K9" s="170">
        <f t="shared" si="1"/>
        <v>0</v>
      </c>
      <c r="L9" s="8">
        <v>180</v>
      </c>
      <c r="M9" s="8">
        <v>3.5</v>
      </c>
      <c r="N9" s="8">
        <v>20</v>
      </c>
      <c r="O9" s="8">
        <v>0</v>
      </c>
      <c r="P9" s="8">
        <v>0</v>
      </c>
      <c r="Q9" s="8">
        <v>0</v>
      </c>
      <c r="R9" s="8">
        <v>18</v>
      </c>
      <c r="S9" s="8">
        <v>65</v>
      </c>
      <c r="T9" s="70">
        <f t="shared" si="0"/>
        <v>105750</v>
      </c>
      <c r="U9" s="39"/>
      <c r="V9" s="39"/>
      <c r="W9" s="58">
        <f t="shared" si="2"/>
        <v>0</v>
      </c>
      <c r="X9" s="39"/>
      <c r="Y9" s="39"/>
      <c r="Z9" s="58">
        <f aca="true" t="shared" si="6" ref="Z9:Z14">X9*Y9</f>
        <v>0</v>
      </c>
      <c r="AA9" s="42"/>
      <c r="AB9" s="42"/>
      <c r="AC9" s="58">
        <f t="shared" si="3"/>
        <v>0</v>
      </c>
      <c r="AD9" s="58"/>
      <c r="AE9" s="58"/>
      <c r="AF9" s="651"/>
      <c r="AG9" s="651"/>
      <c r="AH9" s="58">
        <f t="shared" si="4"/>
        <v>0</v>
      </c>
      <c r="AI9" s="651"/>
      <c r="AJ9" s="651"/>
      <c r="AK9" s="58">
        <f t="shared" si="5"/>
        <v>0</v>
      </c>
      <c r="AL9" s="58"/>
      <c r="AM9" s="70">
        <f aca="true" t="shared" si="7" ref="AM9:AM44">K9+T9+W9+Z9+AC9+AH9+AK9+AL9+AD9+AE9</f>
        <v>105750</v>
      </c>
      <c r="AN9" s="73">
        <v>35610</v>
      </c>
      <c r="AO9" s="76">
        <f>AM9-AN9</f>
        <v>70140</v>
      </c>
      <c r="AP9" s="76"/>
      <c r="AQ9" s="76"/>
      <c r="AR9" s="76"/>
      <c r="AS9" s="74">
        <f aca="true" t="shared" si="8" ref="AS9:AS44">AM9-AN9-AO9-AR9</f>
        <v>0</v>
      </c>
      <c r="AU9" s="974"/>
      <c r="AV9" s="974"/>
      <c r="AW9" s="974"/>
      <c r="AX9" s="974"/>
      <c r="AY9" s="974"/>
      <c r="AZ9" s="974"/>
      <c r="BA9" s="974"/>
      <c r="BB9" s="215"/>
    </row>
    <row r="10" spans="1:54" s="9" customFormat="1" ht="59.25" customHeight="1" thickBot="1">
      <c r="A10" s="985"/>
      <c r="B10" s="994"/>
      <c r="C10" s="160">
        <v>1.2</v>
      </c>
      <c r="D10" s="751" t="s">
        <v>331</v>
      </c>
      <c r="E10" s="107" t="s">
        <v>35</v>
      </c>
      <c r="F10" s="110" t="s">
        <v>337</v>
      </c>
      <c r="G10" s="107"/>
      <c r="H10" s="130"/>
      <c r="I10" s="131"/>
      <c r="J10" s="131"/>
      <c r="K10" s="132">
        <f t="shared" si="1"/>
        <v>0</v>
      </c>
      <c r="L10" s="133">
        <v>45</v>
      </c>
      <c r="M10" s="133">
        <v>2</v>
      </c>
      <c r="N10" s="133">
        <v>20</v>
      </c>
      <c r="O10" s="133">
        <v>0</v>
      </c>
      <c r="P10" s="133">
        <v>0</v>
      </c>
      <c r="Q10" s="133">
        <v>0</v>
      </c>
      <c r="R10" s="133">
        <v>18</v>
      </c>
      <c r="S10" s="133">
        <v>65</v>
      </c>
      <c r="T10" s="70">
        <f t="shared" si="0"/>
        <v>22050</v>
      </c>
      <c r="U10" s="71"/>
      <c r="V10" s="71"/>
      <c r="W10" s="70">
        <f t="shared" si="2"/>
        <v>0</v>
      </c>
      <c r="X10" s="71"/>
      <c r="Y10" s="71"/>
      <c r="Z10" s="70">
        <f t="shared" si="6"/>
        <v>0</v>
      </c>
      <c r="AA10" s="72"/>
      <c r="AB10" s="72"/>
      <c r="AC10" s="70">
        <f t="shared" si="3"/>
        <v>0</v>
      </c>
      <c r="AD10" s="70"/>
      <c r="AE10" s="70"/>
      <c r="AF10" s="91"/>
      <c r="AG10" s="91"/>
      <c r="AH10" s="70">
        <f t="shared" si="4"/>
        <v>0</v>
      </c>
      <c r="AI10" s="91"/>
      <c r="AJ10" s="91"/>
      <c r="AK10" s="70">
        <f t="shared" si="5"/>
        <v>0</v>
      </c>
      <c r="AL10" s="70"/>
      <c r="AM10" s="70">
        <f t="shared" si="7"/>
        <v>22050</v>
      </c>
      <c r="AN10" s="73">
        <f>AM10*0.67/2</f>
        <v>7386.75</v>
      </c>
      <c r="AO10" s="76">
        <f>AM10-AN10</f>
        <v>14663.25</v>
      </c>
      <c r="AP10" s="90"/>
      <c r="AQ10" s="90"/>
      <c r="AR10" s="73"/>
      <c r="AS10" s="74">
        <f t="shared" si="8"/>
        <v>0</v>
      </c>
      <c r="AU10" s="75">
        <f>AM10</f>
        <v>22050</v>
      </c>
      <c r="AV10" s="75">
        <f aca="true" t="shared" si="9" ref="AV10:AW12">AN10</f>
        <v>7386.75</v>
      </c>
      <c r="AW10" s="75">
        <f t="shared" si="9"/>
        <v>14663.25</v>
      </c>
      <c r="AX10" s="75">
        <f>AR10</f>
        <v>0</v>
      </c>
      <c r="AY10" s="75">
        <f>AS10</f>
        <v>0</v>
      </c>
      <c r="AZ10" s="75">
        <f aca="true" t="shared" si="10" ref="AZ10:BA12">AR10</f>
        <v>0</v>
      </c>
      <c r="BA10" s="75">
        <f t="shared" si="10"/>
        <v>0</v>
      </c>
      <c r="BB10" s="215"/>
    </row>
    <row r="11" spans="1:54" s="9" customFormat="1" ht="62.25" customHeight="1" thickBot="1">
      <c r="A11" s="985"/>
      <c r="B11" s="994"/>
      <c r="C11" s="160">
        <v>1.3</v>
      </c>
      <c r="D11" s="751" t="s">
        <v>332</v>
      </c>
      <c r="E11" s="107" t="s">
        <v>39</v>
      </c>
      <c r="F11" s="112" t="s">
        <v>338</v>
      </c>
      <c r="G11" s="107"/>
      <c r="H11" s="130"/>
      <c r="I11" s="131"/>
      <c r="J11" s="131"/>
      <c r="K11" s="132">
        <f t="shared" si="1"/>
        <v>0</v>
      </c>
      <c r="L11" s="133">
        <v>150</v>
      </c>
      <c r="M11" s="133">
        <v>2</v>
      </c>
      <c r="N11" s="133">
        <v>20</v>
      </c>
      <c r="O11" s="133">
        <v>0</v>
      </c>
      <c r="P11" s="133">
        <v>0</v>
      </c>
      <c r="Q11" s="133">
        <v>0</v>
      </c>
      <c r="R11" s="133">
        <v>10</v>
      </c>
      <c r="S11" s="133">
        <v>65</v>
      </c>
      <c r="T11" s="70">
        <f t="shared" si="0"/>
        <v>49500</v>
      </c>
      <c r="U11" s="71"/>
      <c r="V11" s="71"/>
      <c r="W11" s="70">
        <f t="shared" si="2"/>
        <v>0</v>
      </c>
      <c r="X11" s="71"/>
      <c r="Y11" s="71"/>
      <c r="Z11" s="70">
        <f t="shared" si="6"/>
        <v>0</v>
      </c>
      <c r="AA11" s="72"/>
      <c r="AB11" s="72"/>
      <c r="AC11" s="70">
        <f t="shared" si="3"/>
        <v>0</v>
      </c>
      <c r="AD11" s="70"/>
      <c r="AE11" s="70"/>
      <c r="AF11" s="91"/>
      <c r="AG11" s="91"/>
      <c r="AH11" s="70">
        <f t="shared" si="4"/>
        <v>0</v>
      </c>
      <c r="AI11" s="91"/>
      <c r="AJ11" s="91"/>
      <c r="AK11" s="70">
        <f t="shared" si="5"/>
        <v>0</v>
      </c>
      <c r="AL11" s="70"/>
      <c r="AM11" s="70">
        <f t="shared" si="7"/>
        <v>49500</v>
      </c>
      <c r="AN11" s="73"/>
      <c r="AO11" s="90">
        <f>AM11</f>
        <v>49500</v>
      </c>
      <c r="AP11" s="90"/>
      <c r="AQ11" s="90"/>
      <c r="AR11" s="73"/>
      <c r="AS11" s="74">
        <f t="shared" si="8"/>
        <v>0</v>
      </c>
      <c r="AU11" s="75">
        <f>AM11</f>
        <v>49500</v>
      </c>
      <c r="AV11" s="75">
        <f t="shared" si="9"/>
        <v>0</v>
      </c>
      <c r="AW11" s="75">
        <f t="shared" si="9"/>
        <v>49500</v>
      </c>
      <c r="AX11" s="75">
        <f>AP11</f>
        <v>0</v>
      </c>
      <c r="AY11" s="75">
        <f>AQ11</f>
        <v>0</v>
      </c>
      <c r="AZ11" s="75">
        <f t="shared" si="10"/>
        <v>0</v>
      </c>
      <c r="BA11" s="75">
        <f t="shared" si="10"/>
        <v>0</v>
      </c>
      <c r="BB11" s="215"/>
    </row>
    <row r="12" spans="1:54" s="68" customFormat="1" ht="79.5" thickBot="1">
      <c r="A12" s="985"/>
      <c r="B12" s="994"/>
      <c r="C12" s="160">
        <v>1.4</v>
      </c>
      <c r="D12" s="751" t="s">
        <v>333</v>
      </c>
      <c r="E12" s="107" t="s">
        <v>44</v>
      </c>
      <c r="F12" s="113" t="s">
        <v>339</v>
      </c>
      <c r="G12" s="107" t="s">
        <v>287</v>
      </c>
      <c r="H12" s="130"/>
      <c r="I12" s="131"/>
      <c r="J12" s="131"/>
      <c r="K12" s="132">
        <f t="shared" si="1"/>
        <v>0</v>
      </c>
      <c r="L12" s="133"/>
      <c r="M12" s="133"/>
      <c r="N12" s="133"/>
      <c r="O12" s="133"/>
      <c r="P12" s="133"/>
      <c r="Q12" s="133"/>
      <c r="R12" s="133"/>
      <c r="S12" s="133"/>
      <c r="T12" s="70">
        <f t="shared" si="0"/>
        <v>0</v>
      </c>
      <c r="U12" s="71"/>
      <c r="V12" s="71"/>
      <c r="W12" s="70">
        <f t="shared" si="2"/>
        <v>0</v>
      </c>
      <c r="X12" s="71"/>
      <c r="Y12" s="71"/>
      <c r="Z12" s="70">
        <f t="shared" si="6"/>
        <v>0</v>
      </c>
      <c r="AA12" s="72"/>
      <c r="AB12" s="72"/>
      <c r="AC12" s="70">
        <f t="shared" si="3"/>
        <v>0</v>
      </c>
      <c r="AD12" s="70"/>
      <c r="AE12" s="70"/>
      <c r="AF12" s="91"/>
      <c r="AG12" s="91"/>
      <c r="AH12" s="70">
        <f t="shared" si="4"/>
        <v>0</v>
      </c>
      <c r="AI12" s="91"/>
      <c r="AJ12" s="91"/>
      <c r="AK12" s="70">
        <f t="shared" si="5"/>
        <v>0</v>
      </c>
      <c r="AL12" s="70"/>
      <c r="AM12" s="70">
        <f t="shared" si="7"/>
        <v>0</v>
      </c>
      <c r="AN12" s="73"/>
      <c r="AO12" s="73"/>
      <c r="AP12" s="73"/>
      <c r="AQ12" s="73"/>
      <c r="AR12" s="73"/>
      <c r="AS12" s="74">
        <f t="shared" si="8"/>
        <v>0</v>
      </c>
      <c r="AU12" s="75">
        <f>AM12</f>
        <v>0</v>
      </c>
      <c r="AV12" s="75">
        <f t="shared" si="9"/>
        <v>0</v>
      </c>
      <c r="AW12" s="75">
        <f t="shared" si="9"/>
        <v>0</v>
      </c>
      <c r="AX12" s="75">
        <f>AP12</f>
        <v>0</v>
      </c>
      <c r="AY12" s="75">
        <f>AQ12</f>
        <v>0</v>
      </c>
      <c r="AZ12" s="75">
        <f t="shared" si="10"/>
        <v>0</v>
      </c>
      <c r="BA12" s="75">
        <f t="shared" si="10"/>
        <v>0</v>
      </c>
      <c r="BB12" s="215"/>
    </row>
    <row r="13" spans="1:54" s="68" customFormat="1" ht="45" customHeight="1" thickBot="1">
      <c r="A13" s="985"/>
      <c r="B13" s="994"/>
      <c r="C13" s="993">
        <v>1.5</v>
      </c>
      <c r="D13" s="1001" t="s">
        <v>334</v>
      </c>
      <c r="E13" s="107" t="s">
        <v>47</v>
      </c>
      <c r="F13" s="758" t="s">
        <v>340</v>
      </c>
      <c r="G13" s="107" t="s">
        <v>287</v>
      </c>
      <c r="H13" s="130"/>
      <c r="I13" s="131"/>
      <c r="J13" s="131"/>
      <c r="K13" s="132">
        <f t="shared" si="1"/>
        <v>0</v>
      </c>
      <c r="L13" s="133"/>
      <c r="M13" s="133"/>
      <c r="N13" s="133"/>
      <c r="O13" s="133"/>
      <c r="P13" s="133"/>
      <c r="Q13" s="133"/>
      <c r="R13" s="133"/>
      <c r="S13" s="133"/>
      <c r="T13" s="70">
        <f t="shared" si="0"/>
        <v>0</v>
      </c>
      <c r="U13" s="71"/>
      <c r="V13" s="71"/>
      <c r="W13" s="70">
        <f t="shared" si="2"/>
        <v>0</v>
      </c>
      <c r="X13" s="71"/>
      <c r="Y13" s="71"/>
      <c r="Z13" s="70">
        <f t="shared" si="6"/>
        <v>0</v>
      </c>
      <c r="AA13" s="72"/>
      <c r="AB13" s="72"/>
      <c r="AC13" s="70">
        <f t="shared" si="3"/>
        <v>0</v>
      </c>
      <c r="AD13" s="70"/>
      <c r="AE13" s="70"/>
      <c r="AF13" s="91"/>
      <c r="AG13" s="91"/>
      <c r="AH13" s="70">
        <f t="shared" si="4"/>
        <v>0</v>
      </c>
      <c r="AI13" s="91"/>
      <c r="AJ13" s="91"/>
      <c r="AK13" s="70">
        <f t="shared" si="5"/>
        <v>0</v>
      </c>
      <c r="AL13" s="70"/>
      <c r="AM13" s="70">
        <f t="shared" si="7"/>
        <v>0</v>
      </c>
      <c r="AN13" s="73"/>
      <c r="AO13" s="73"/>
      <c r="AP13" s="73"/>
      <c r="AQ13" s="73"/>
      <c r="AR13" s="73"/>
      <c r="AS13" s="74">
        <f t="shared" si="8"/>
        <v>0</v>
      </c>
      <c r="AU13" s="973">
        <f aca="true" t="shared" si="11" ref="AU13:BA13">AM13+AM14</f>
        <v>27150</v>
      </c>
      <c r="AV13" s="973">
        <f t="shared" si="11"/>
        <v>0</v>
      </c>
      <c r="AW13" s="973">
        <f t="shared" si="11"/>
        <v>16180</v>
      </c>
      <c r="AX13" s="973">
        <f t="shared" si="11"/>
        <v>0</v>
      </c>
      <c r="AY13" s="973">
        <f t="shared" si="11"/>
        <v>0</v>
      </c>
      <c r="AZ13" s="973">
        <f t="shared" si="11"/>
        <v>0</v>
      </c>
      <c r="BA13" s="973">
        <f t="shared" si="11"/>
        <v>10970</v>
      </c>
      <c r="BB13" s="215"/>
    </row>
    <row r="14" spans="1:54" s="78" customFormat="1" ht="42" customHeight="1" thickBot="1">
      <c r="A14" s="1012"/>
      <c r="B14" s="995"/>
      <c r="C14" s="995"/>
      <c r="D14" s="1003"/>
      <c r="E14" s="111" t="s">
        <v>48</v>
      </c>
      <c r="F14" s="759" t="s">
        <v>341</v>
      </c>
      <c r="G14" s="111" t="s">
        <v>33</v>
      </c>
      <c r="H14" s="137"/>
      <c r="I14" s="141"/>
      <c r="J14" s="141"/>
      <c r="K14" s="187">
        <f t="shared" si="1"/>
        <v>0</v>
      </c>
      <c r="L14" s="139">
        <v>5</v>
      </c>
      <c r="M14" s="139">
        <v>2</v>
      </c>
      <c r="N14" s="139">
        <v>10</v>
      </c>
      <c r="O14" s="139">
        <v>0</v>
      </c>
      <c r="P14" s="139">
        <v>0</v>
      </c>
      <c r="Q14" s="139">
        <v>0</v>
      </c>
      <c r="R14" s="139">
        <v>10</v>
      </c>
      <c r="S14" s="139">
        <v>65</v>
      </c>
      <c r="T14" s="70">
        <f t="shared" si="0"/>
        <v>1150</v>
      </c>
      <c r="U14" s="84"/>
      <c r="V14" s="84"/>
      <c r="W14" s="66">
        <f t="shared" si="2"/>
        <v>0</v>
      </c>
      <c r="X14" s="84">
        <v>20</v>
      </c>
      <c r="Y14" s="84">
        <v>1200</v>
      </c>
      <c r="Z14" s="66">
        <f t="shared" si="6"/>
        <v>24000</v>
      </c>
      <c r="AA14" s="85"/>
      <c r="AB14" s="85"/>
      <c r="AC14" s="66">
        <f t="shared" si="3"/>
        <v>0</v>
      </c>
      <c r="AD14" s="66"/>
      <c r="AE14" s="66"/>
      <c r="AF14" s="655"/>
      <c r="AG14" s="655"/>
      <c r="AH14" s="66">
        <f t="shared" si="4"/>
        <v>0</v>
      </c>
      <c r="AI14" s="655"/>
      <c r="AJ14" s="655"/>
      <c r="AK14" s="66">
        <f t="shared" si="5"/>
        <v>0</v>
      </c>
      <c r="AL14" s="66">
        <v>2000</v>
      </c>
      <c r="AM14" s="70">
        <f t="shared" si="7"/>
        <v>27150</v>
      </c>
      <c r="AN14" s="83"/>
      <c r="AO14" s="83">
        <v>16180</v>
      </c>
      <c r="AP14" s="83"/>
      <c r="AQ14" s="83"/>
      <c r="AR14" s="83"/>
      <c r="AS14" s="74">
        <f t="shared" si="8"/>
        <v>10970</v>
      </c>
      <c r="AT14" s="86"/>
      <c r="AU14" s="977"/>
      <c r="AV14" s="977"/>
      <c r="AW14" s="977"/>
      <c r="AX14" s="977"/>
      <c r="AY14" s="977"/>
      <c r="AZ14" s="977"/>
      <c r="BA14" s="977"/>
      <c r="BB14" s="216"/>
    </row>
    <row r="15" spans="1:54" s="68" customFormat="1" ht="60" customHeight="1" thickBot="1">
      <c r="A15" s="1000">
        <v>2</v>
      </c>
      <c r="B15" s="996" t="s">
        <v>342</v>
      </c>
      <c r="C15" s="993">
        <v>2.1</v>
      </c>
      <c r="D15" s="1001" t="s">
        <v>343</v>
      </c>
      <c r="E15" s="107" t="s">
        <v>19</v>
      </c>
      <c r="F15" s="114" t="s">
        <v>347</v>
      </c>
      <c r="G15" s="107" t="s">
        <v>33</v>
      </c>
      <c r="H15" s="130"/>
      <c r="I15" s="131"/>
      <c r="J15" s="131"/>
      <c r="K15" s="132">
        <f aca="true" t="shared" si="12" ref="K15:K27">H15*I15*J15</f>
        <v>0</v>
      </c>
      <c r="L15" s="133"/>
      <c r="M15" s="133"/>
      <c r="N15" s="133"/>
      <c r="O15" s="133"/>
      <c r="P15" s="133"/>
      <c r="Q15" s="133"/>
      <c r="R15" s="133"/>
      <c r="S15" s="133"/>
      <c r="T15" s="70">
        <f t="shared" si="0"/>
        <v>0</v>
      </c>
      <c r="U15" s="71"/>
      <c r="V15" s="71"/>
      <c r="W15" s="70">
        <f aca="true" t="shared" si="13" ref="W15:W26">U15*V15</f>
        <v>0</v>
      </c>
      <c r="X15" s="71"/>
      <c r="Y15" s="71"/>
      <c r="Z15" s="70">
        <v>32345</v>
      </c>
      <c r="AA15" s="72"/>
      <c r="AB15" s="72"/>
      <c r="AC15" s="70">
        <f aca="true" t="shared" si="14" ref="AC15:AC26">AA15*AB15</f>
        <v>0</v>
      </c>
      <c r="AD15" s="70"/>
      <c r="AE15" s="70"/>
      <c r="AF15" s="91"/>
      <c r="AG15" s="91"/>
      <c r="AH15" s="70">
        <f aca="true" t="shared" si="15" ref="AH15:AH26">AF15*AG15</f>
        <v>0</v>
      </c>
      <c r="AI15" s="91"/>
      <c r="AJ15" s="91"/>
      <c r="AK15" s="70">
        <f aca="true" t="shared" si="16" ref="AK15:AK26">AI15*AJ15</f>
        <v>0</v>
      </c>
      <c r="AL15" s="70"/>
      <c r="AM15" s="70">
        <f t="shared" si="7"/>
        <v>32345</v>
      </c>
      <c r="AN15" s="73">
        <f>AM15*0.67/2</f>
        <v>10835.575</v>
      </c>
      <c r="AO15" s="978">
        <f>25972+38718+26805+32345</f>
        <v>123840</v>
      </c>
      <c r="AP15" s="345"/>
      <c r="AQ15" s="345"/>
      <c r="AR15" s="978"/>
      <c r="AS15" s="981">
        <f>(AM15+AM16+AM17)-(AN15+AN16+AN17+AO15)</f>
        <v>37733.59999999998</v>
      </c>
      <c r="AU15" s="973">
        <f aca="true" t="shared" si="17" ref="AU15:BA15">AM15+AM16+AM17</f>
        <v>271840</v>
      </c>
      <c r="AV15" s="973">
        <f t="shared" si="17"/>
        <v>110266.40000000001</v>
      </c>
      <c r="AW15" s="973">
        <f t="shared" si="17"/>
        <v>123840</v>
      </c>
      <c r="AX15" s="973">
        <f t="shared" si="17"/>
        <v>0</v>
      </c>
      <c r="AY15" s="973">
        <f t="shared" si="17"/>
        <v>0</v>
      </c>
      <c r="AZ15" s="973">
        <f t="shared" si="17"/>
        <v>0</v>
      </c>
      <c r="BA15" s="973">
        <f t="shared" si="17"/>
        <v>37733.59999999998</v>
      </c>
      <c r="BB15" s="215"/>
    </row>
    <row r="16" spans="1:54" s="68" customFormat="1" ht="47.25" customHeight="1" thickBot="1">
      <c r="A16" s="1000"/>
      <c r="B16" s="996"/>
      <c r="C16" s="994"/>
      <c r="D16" s="1002"/>
      <c r="E16" s="115" t="s">
        <v>20</v>
      </c>
      <c r="F16" s="116" t="s">
        <v>348</v>
      </c>
      <c r="G16" s="115"/>
      <c r="H16" s="134"/>
      <c r="I16" s="135"/>
      <c r="J16" s="135"/>
      <c r="K16" s="192">
        <f t="shared" si="12"/>
        <v>0</v>
      </c>
      <c r="L16" s="143">
        <v>60</v>
      </c>
      <c r="M16" s="143">
        <v>10</v>
      </c>
      <c r="N16" s="143">
        <v>20</v>
      </c>
      <c r="O16" s="143">
        <v>0</v>
      </c>
      <c r="P16" s="143">
        <v>0</v>
      </c>
      <c r="Q16" s="143">
        <v>0</v>
      </c>
      <c r="R16" s="143">
        <v>50</v>
      </c>
      <c r="S16" s="143">
        <v>65</v>
      </c>
      <c r="T16" s="70">
        <f t="shared" si="0"/>
        <v>99000</v>
      </c>
      <c r="U16" s="87"/>
      <c r="V16" s="87"/>
      <c r="W16" s="88"/>
      <c r="X16" s="87"/>
      <c r="Y16" s="87"/>
      <c r="Z16" s="88"/>
      <c r="AA16" s="89"/>
      <c r="AB16" s="89"/>
      <c r="AC16" s="88"/>
      <c r="AD16" s="88"/>
      <c r="AE16" s="88"/>
      <c r="AF16" s="648"/>
      <c r="AG16" s="648"/>
      <c r="AH16" s="88"/>
      <c r="AI16" s="648"/>
      <c r="AJ16" s="648"/>
      <c r="AK16" s="88"/>
      <c r="AL16" s="88">
        <v>1000</v>
      </c>
      <c r="AM16" s="70">
        <f t="shared" si="7"/>
        <v>100000</v>
      </c>
      <c r="AN16" s="73">
        <f>AM16*0.67/2</f>
        <v>33500</v>
      </c>
      <c r="AO16" s="979"/>
      <c r="AP16" s="346"/>
      <c r="AQ16" s="346"/>
      <c r="AR16" s="979"/>
      <c r="AS16" s="982"/>
      <c r="AU16" s="976"/>
      <c r="AV16" s="976"/>
      <c r="AW16" s="976"/>
      <c r="AX16" s="976"/>
      <c r="AY16" s="976"/>
      <c r="AZ16" s="976"/>
      <c r="BA16" s="976"/>
      <c r="BB16" s="215"/>
    </row>
    <row r="17" spans="1:54" s="78" customFormat="1" ht="48" customHeight="1" thickBot="1">
      <c r="A17" s="1000"/>
      <c r="B17" s="996"/>
      <c r="C17" s="994"/>
      <c r="D17" s="1002"/>
      <c r="E17" s="108" t="s">
        <v>49</v>
      </c>
      <c r="F17" s="128" t="s">
        <v>349</v>
      </c>
      <c r="G17" s="108" t="s">
        <v>359</v>
      </c>
      <c r="H17" s="37">
        <v>2</v>
      </c>
      <c r="I17" s="2">
        <v>400</v>
      </c>
      <c r="J17" s="2">
        <v>60</v>
      </c>
      <c r="K17" s="170">
        <f t="shared" si="12"/>
        <v>48000</v>
      </c>
      <c r="L17" s="8">
        <v>20</v>
      </c>
      <c r="M17" s="8">
        <v>5</v>
      </c>
      <c r="N17" s="8">
        <v>20</v>
      </c>
      <c r="O17" s="101">
        <v>100</v>
      </c>
      <c r="P17" s="101">
        <v>12</v>
      </c>
      <c r="Q17" s="101">
        <v>20</v>
      </c>
      <c r="R17" s="8">
        <v>25</v>
      </c>
      <c r="S17" s="8">
        <v>65</v>
      </c>
      <c r="T17" s="70">
        <f>(L17*M17*O17)+(L17*M17*N17*P17)+(L17*M17*N17*Q17)+(L17*N17*R17)+(L17*M17*S17)</f>
        <v>90500</v>
      </c>
      <c r="U17" s="39"/>
      <c r="V17" s="39"/>
      <c r="W17" s="58">
        <f t="shared" si="13"/>
        <v>0</v>
      </c>
      <c r="X17" s="39"/>
      <c r="Y17" s="39"/>
      <c r="Z17" s="58">
        <f aca="true" t="shared" si="18" ref="Z17:Z26">X17*Y17</f>
        <v>0</v>
      </c>
      <c r="AA17" s="42"/>
      <c r="AB17" s="42"/>
      <c r="AC17" s="58">
        <f t="shared" si="14"/>
        <v>0</v>
      </c>
      <c r="AD17" s="58"/>
      <c r="AE17" s="58"/>
      <c r="AF17" s="651"/>
      <c r="AG17" s="651"/>
      <c r="AH17" s="58">
        <f t="shared" si="15"/>
        <v>0</v>
      </c>
      <c r="AI17" s="651"/>
      <c r="AJ17" s="651"/>
      <c r="AK17" s="58">
        <f t="shared" si="16"/>
        <v>0</v>
      </c>
      <c r="AL17" s="58">
        <v>995</v>
      </c>
      <c r="AM17" s="70">
        <f t="shared" si="7"/>
        <v>139495</v>
      </c>
      <c r="AN17" s="73">
        <f>(AM17*0.67/2)+19200</f>
        <v>65930.82500000001</v>
      </c>
      <c r="AO17" s="980"/>
      <c r="AP17" s="347"/>
      <c r="AQ17" s="347"/>
      <c r="AR17" s="980"/>
      <c r="AS17" s="983"/>
      <c r="AU17" s="974"/>
      <c r="AV17" s="974"/>
      <c r="AW17" s="974"/>
      <c r="AX17" s="974"/>
      <c r="AY17" s="974"/>
      <c r="AZ17" s="974"/>
      <c r="BA17" s="974"/>
      <c r="BB17" s="215"/>
    </row>
    <row r="18" spans="1:54" s="9" customFormat="1" ht="57" customHeight="1" thickBot="1">
      <c r="A18" s="1000"/>
      <c r="B18" s="996"/>
      <c r="C18" s="993">
        <v>2.2</v>
      </c>
      <c r="D18" s="1001" t="s">
        <v>344</v>
      </c>
      <c r="E18" s="107" t="s">
        <v>18</v>
      </c>
      <c r="F18" s="760" t="s">
        <v>350</v>
      </c>
      <c r="G18" s="107" t="s">
        <v>287</v>
      </c>
      <c r="H18" s="130"/>
      <c r="I18" s="131"/>
      <c r="J18" s="131"/>
      <c r="K18" s="132">
        <f t="shared" si="12"/>
        <v>0</v>
      </c>
      <c r="L18" s="133"/>
      <c r="M18" s="133"/>
      <c r="N18" s="133"/>
      <c r="O18" s="133"/>
      <c r="P18" s="133"/>
      <c r="Q18" s="133"/>
      <c r="R18" s="133"/>
      <c r="S18" s="133"/>
      <c r="T18" s="70">
        <f aca="true" t="shared" si="19" ref="T18:T44">(L18*M18*O18)+(L18*M18*N18*P18)+(L18*M18*N18*Q18)+(L18*N18*R18)+(L18*M18*S18)</f>
        <v>0</v>
      </c>
      <c r="U18" s="91">
        <v>57</v>
      </c>
      <c r="V18" s="91">
        <v>90</v>
      </c>
      <c r="W18" s="70">
        <f t="shared" si="13"/>
        <v>5130</v>
      </c>
      <c r="X18" s="71"/>
      <c r="Y18" s="71"/>
      <c r="Z18" s="70">
        <f t="shared" si="18"/>
        <v>0</v>
      </c>
      <c r="AA18" s="72"/>
      <c r="AB18" s="72"/>
      <c r="AC18" s="70">
        <f t="shared" si="14"/>
        <v>0</v>
      </c>
      <c r="AD18" s="70"/>
      <c r="AE18" s="70"/>
      <c r="AF18" s="91"/>
      <c r="AG18" s="91"/>
      <c r="AH18" s="70">
        <f t="shared" si="15"/>
        <v>0</v>
      </c>
      <c r="AI18" s="91"/>
      <c r="AJ18" s="91"/>
      <c r="AK18" s="70">
        <f t="shared" si="16"/>
        <v>0</v>
      </c>
      <c r="AL18" s="70"/>
      <c r="AM18" s="70">
        <f t="shared" si="7"/>
        <v>5130</v>
      </c>
      <c r="AN18" s="73">
        <f>AM18*0.67/2</f>
        <v>1718.5500000000002</v>
      </c>
      <c r="AO18" s="978">
        <f>11010+148069</f>
        <v>159079</v>
      </c>
      <c r="AP18" s="345"/>
      <c r="AQ18" s="345"/>
      <c r="AR18" s="73"/>
      <c r="AS18" s="1058">
        <f>AM18+AM19+AM20-AN18-AN19-AN20-AO18</f>
        <v>-53291.465</v>
      </c>
      <c r="AU18" s="973">
        <f aca="true" t="shared" si="20" ref="AU18:BA18">AM18+AM19+AM20</f>
        <v>159079</v>
      </c>
      <c r="AV18" s="973">
        <f t="shared" si="20"/>
        <v>53291.465</v>
      </c>
      <c r="AW18" s="973">
        <f t="shared" si="20"/>
        <v>159079</v>
      </c>
      <c r="AX18" s="973">
        <f t="shared" si="20"/>
        <v>0</v>
      </c>
      <c r="AY18" s="973">
        <f t="shared" si="20"/>
        <v>0</v>
      </c>
      <c r="AZ18" s="973">
        <f t="shared" si="20"/>
        <v>0</v>
      </c>
      <c r="BA18" s="973">
        <f t="shared" si="20"/>
        <v>-53291.465</v>
      </c>
      <c r="BB18" s="215"/>
    </row>
    <row r="19" spans="1:54" s="9" customFormat="1" ht="37.5" customHeight="1" thickBot="1">
      <c r="A19" s="1000"/>
      <c r="B19" s="996"/>
      <c r="C19" s="994"/>
      <c r="D19" s="1002"/>
      <c r="E19" s="108" t="s">
        <v>21</v>
      </c>
      <c r="F19" s="116" t="s">
        <v>351</v>
      </c>
      <c r="G19" s="107" t="s">
        <v>287</v>
      </c>
      <c r="H19" s="37"/>
      <c r="I19" s="2"/>
      <c r="J19" s="2"/>
      <c r="K19" s="170">
        <f t="shared" si="12"/>
        <v>0</v>
      </c>
      <c r="L19" s="8">
        <v>7</v>
      </c>
      <c r="M19" s="8">
        <v>47</v>
      </c>
      <c r="N19" s="8">
        <v>20</v>
      </c>
      <c r="O19" s="8">
        <v>0</v>
      </c>
      <c r="P19" s="8">
        <v>0</v>
      </c>
      <c r="Q19" s="8">
        <v>0</v>
      </c>
      <c r="R19" s="8">
        <v>235</v>
      </c>
      <c r="S19" s="8">
        <v>65</v>
      </c>
      <c r="T19" s="70">
        <f t="shared" si="19"/>
        <v>54285</v>
      </c>
      <c r="U19" s="39"/>
      <c r="V19" s="39"/>
      <c r="W19" s="58">
        <f t="shared" si="13"/>
        <v>0</v>
      </c>
      <c r="X19" s="39"/>
      <c r="Y19" s="39"/>
      <c r="Z19" s="58">
        <f t="shared" si="18"/>
        <v>0</v>
      </c>
      <c r="AA19" s="42"/>
      <c r="AB19" s="42"/>
      <c r="AC19" s="58">
        <f t="shared" si="14"/>
        <v>0</v>
      </c>
      <c r="AD19" s="58"/>
      <c r="AE19" s="58"/>
      <c r="AF19" s="651"/>
      <c r="AG19" s="651"/>
      <c r="AH19" s="58">
        <f t="shared" si="15"/>
        <v>0</v>
      </c>
      <c r="AI19" s="651"/>
      <c r="AJ19" s="651"/>
      <c r="AK19" s="58">
        <f t="shared" si="16"/>
        <v>0</v>
      </c>
      <c r="AL19" s="58">
        <v>20464</v>
      </c>
      <c r="AM19" s="70">
        <f t="shared" si="7"/>
        <v>74749</v>
      </c>
      <c r="AN19" s="73">
        <f>AM19*0.67/2</f>
        <v>25040.915</v>
      </c>
      <c r="AO19" s="979"/>
      <c r="AP19" s="346"/>
      <c r="AQ19" s="346"/>
      <c r="AR19" s="76"/>
      <c r="AS19" s="1059"/>
      <c r="AU19" s="976"/>
      <c r="AV19" s="976"/>
      <c r="AW19" s="976"/>
      <c r="AX19" s="976"/>
      <c r="AY19" s="976"/>
      <c r="AZ19" s="976"/>
      <c r="BA19" s="976"/>
      <c r="BB19" s="215"/>
    </row>
    <row r="20" spans="1:54" s="9" customFormat="1" ht="39.75" customHeight="1" thickBot="1">
      <c r="A20" s="1000"/>
      <c r="B20" s="996"/>
      <c r="C20" s="995"/>
      <c r="D20" s="1003"/>
      <c r="E20" s="111" t="s">
        <v>50</v>
      </c>
      <c r="F20" s="109" t="s">
        <v>352</v>
      </c>
      <c r="G20" s="107" t="s">
        <v>287</v>
      </c>
      <c r="H20" s="137"/>
      <c r="I20" s="138"/>
      <c r="J20" s="138"/>
      <c r="K20" s="187">
        <f t="shared" si="12"/>
        <v>0</v>
      </c>
      <c r="L20" s="139">
        <v>48</v>
      </c>
      <c r="M20" s="140">
        <v>10</v>
      </c>
      <c r="N20" s="142">
        <v>20</v>
      </c>
      <c r="O20" s="79">
        <v>0</v>
      </c>
      <c r="P20" s="79">
        <v>0</v>
      </c>
      <c r="Q20" s="79">
        <v>0</v>
      </c>
      <c r="R20" s="142">
        <v>50</v>
      </c>
      <c r="S20" s="142">
        <v>65</v>
      </c>
      <c r="T20" s="70">
        <f t="shared" si="19"/>
        <v>79200</v>
      </c>
      <c r="U20" s="79"/>
      <c r="V20" s="79"/>
      <c r="W20" s="66">
        <f t="shared" si="13"/>
        <v>0</v>
      </c>
      <c r="X20" s="79"/>
      <c r="Y20" s="79"/>
      <c r="Z20" s="66">
        <f t="shared" si="18"/>
        <v>0</v>
      </c>
      <c r="AA20" s="80"/>
      <c r="AB20" s="80"/>
      <c r="AC20" s="66">
        <f t="shared" si="14"/>
        <v>0</v>
      </c>
      <c r="AD20" s="81"/>
      <c r="AE20" s="81"/>
      <c r="AF20" s="650"/>
      <c r="AG20" s="650"/>
      <c r="AH20" s="66">
        <f t="shared" si="15"/>
        <v>0</v>
      </c>
      <c r="AI20" s="650"/>
      <c r="AJ20" s="650"/>
      <c r="AK20" s="66">
        <f t="shared" si="16"/>
        <v>0</v>
      </c>
      <c r="AL20" s="82"/>
      <c r="AM20" s="70">
        <f t="shared" si="7"/>
        <v>79200</v>
      </c>
      <c r="AN20" s="73">
        <f>AM20*0.67/2</f>
        <v>26532</v>
      </c>
      <c r="AO20" s="980"/>
      <c r="AP20" s="347"/>
      <c r="AQ20" s="347"/>
      <c r="AR20" s="83"/>
      <c r="AS20" s="1060"/>
      <c r="AU20" s="974"/>
      <c r="AV20" s="974"/>
      <c r="AW20" s="974"/>
      <c r="AX20" s="974"/>
      <c r="AY20" s="974"/>
      <c r="AZ20" s="974"/>
      <c r="BA20" s="974"/>
      <c r="BB20" s="215"/>
    </row>
    <row r="21" spans="1:54" s="9" customFormat="1" ht="34.5" customHeight="1" thickBot="1">
      <c r="A21" s="1000"/>
      <c r="B21" s="996"/>
      <c r="C21" s="993">
        <v>2.3</v>
      </c>
      <c r="D21" s="1001" t="s">
        <v>345</v>
      </c>
      <c r="E21" s="107" t="s">
        <v>51</v>
      </c>
      <c r="F21" s="117" t="s">
        <v>353</v>
      </c>
      <c r="G21" s="107" t="s">
        <v>287</v>
      </c>
      <c r="H21" s="130"/>
      <c r="I21" s="131"/>
      <c r="J21" s="131"/>
      <c r="K21" s="132">
        <f t="shared" si="12"/>
        <v>0</v>
      </c>
      <c r="L21" s="133"/>
      <c r="M21" s="133"/>
      <c r="N21" s="133"/>
      <c r="O21" s="133"/>
      <c r="P21" s="133"/>
      <c r="Q21" s="133"/>
      <c r="R21" s="133"/>
      <c r="S21" s="133"/>
      <c r="T21" s="70">
        <f t="shared" si="19"/>
        <v>0</v>
      </c>
      <c r="U21" s="71"/>
      <c r="V21" s="71"/>
      <c r="W21" s="70">
        <f t="shared" si="13"/>
        <v>0</v>
      </c>
      <c r="X21" s="71"/>
      <c r="Y21" s="71"/>
      <c r="Z21" s="70">
        <f t="shared" si="18"/>
        <v>0</v>
      </c>
      <c r="AA21" s="72"/>
      <c r="AB21" s="72"/>
      <c r="AC21" s="70">
        <f t="shared" si="14"/>
        <v>0</v>
      </c>
      <c r="AD21" s="70"/>
      <c r="AE21" s="70"/>
      <c r="AF21" s="91"/>
      <c r="AG21" s="91"/>
      <c r="AH21" s="70">
        <f t="shared" si="15"/>
        <v>0</v>
      </c>
      <c r="AI21" s="91"/>
      <c r="AJ21" s="91"/>
      <c r="AK21" s="70">
        <f t="shared" si="16"/>
        <v>0</v>
      </c>
      <c r="AL21" s="70"/>
      <c r="AM21" s="70">
        <f t="shared" si="7"/>
        <v>0</v>
      </c>
      <c r="AN21" s="73"/>
      <c r="AO21" s="73"/>
      <c r="AP21" s="73"/>
      <c r="AQ21" s="73"/>
      <c r="AR21" s="73"/>
      <c r="AS21" s="74">
        <f t="shared" si="8"/>
        <v>0</v>
      </c>
      <c r="AU21" s="973">
        <f aca="true" t="shared" si="21" ref="AU21:BA21">AM21+AM22</f>
        <v>6900</v>
      </c>
      <c r="AV21" s="973">
        <f t="shared" si="21"/>
        <v>2311.5</v>
      </c>
      <c r="AW21" s="973">
        <f t="shared" si="21"/>
        <v>0</v>
      </c>
      <c r="AX21" s="973">
        <f t="shared" si="21"/>
        <v>0</v>
      </c>
      <c r="AY21" s="973">
        <f t="shared" si="21"/>
        <v>0</v>
      </c>
      <c r="AZ21" s="973">
        <f t="shared" si="21"/>
        <v>0</v>
      </c>
      <c r="BA21" s="973">
        <f t="shared" si="21"/>
        <v>4588.5</v>
      </c>
      <c r="BB21" s="215"/>
    </row>
    <row r="22" spans="1:54" s="9" customFormat="1" ht="55.5" customHeight="1" thickBot="1">
      <c r="A22" s="1000"/>
      <c r="B22" s="996"/>
      <c r="C22" s="994"/>
      <c r="D22" s="1002"/>
      <c r="E22" s="108" t="s">
        <v>52</v>
      </c>
      <c r="F22" s="108" t="s">
        <v>354</v>
      </c>
      <c r="G22" s="108"/>
      <c r="H22" s="37"/>
      <c r="I22" s="2"/>
      <c r="J22" s="2"/>
      <c r="K22" s="170">
        <f t="shared" si="12"/>
        <v>0</v>
      </c>
      <c r="L22" s="8"/>
      <c r="M22" s="8"/>
      <c r="N22" s="8"/>
      <c r="O22" s="8"/>
      <c r="P22" s="8"/>
      <c r="Q22" s="8"/>
      <c r="R22" s="8"/>
      <c r="S22" s="8"/>
      <c r="T22" s="70">
        <f t="shared" si="19"/>
        <v>0</v>
      </c>
      <c r="U22" s="39"/>
      <c r="V22" s="39"/>
      <c r="W22" s="58">
        <f t="shared" si="13"/>
        <v>0</v>
      </c>
      <c r="X22" s="39"/>
      <c r="Y22" s="39"/>
      <c r="Z22" s="58">
        <f t="shared" si="18"/>
        <v>0</v>
      </c>
      <c r="AA22" s="42"/>
      <c r="AB22" s="42"/>
      <c r="AC22" s="58">
        <f t="shared" si="14"/>
        <v>0</v>
      </c>
      <c r="AD22" s="58"/>
      <c r="AE22" s="58"/>
      <c r="AF22" s="651"/>
      <c r="AG22" s="651"/>
      <c r="AH22" s="58">
        <f t="shared" si="15"/>
        <v>0</v>
      </c>
      <c r="AI22" s="651"/>
      <c r="AJ22" s="651"/>
      <c r="AK22" s="58">
        <f t="shared" si="16"/>
        <v>0</v>
      </c>
      <c r="AL22" s="58">
        <f>(3*2*500)+(3*2*5*80)+(3*2*5*50)</f>
        <v>6900</v>
      </c>
      <c r="AM22" s="70">
        <f t="shared" si="7"/>
        <v>6900</v>
      </c>
      <c r="AN22" s="73">
        <f>AM22*0.67/2</f>
        <v>2311.5</v>
      </c>
      <c r="AO22" s="76"/>
      <c r="AP22" s="76"/>
      <c r="AQ22" s="76"/>
      <c r="AR22" s="76"/>
      <c r="AS22" s="74">
        <f t="shared" si="8"/>
        <v>4588.5</v>
      </c>
      <c r="AU22" s="974"/>
      <c r="AV22" s="974"/>
      <c r="AW22" s="974"/>
      <c r="AX22" s="974"/>
      <c r="AY22" s="974"/>
      <c r="AZ22" s="974"/>
      <c r="BA22" s="974"/>
      <c r="BB22" s="215"/>
    </row>
    <row r="23" spans="1:54" s="68" customFormat="1" ht="48.75" customHeight="1" thickBot="1">
      <c r="A23" s="1000"/>
      <c r="B23" s="996"/>
      <c r="C23" s="993">
        <v>2.4</v>
      </c>
      <c r="D23" s="1001" t="s">
        <v>346</v>
      </c>
      <c r="E23" s="107" t="s">
        <v>53</v>
      </c>
      <c r="F23" s="107" t="s">
        <v>355</v>
      </c>
      <c r="G23" s="107"/>
      <c r="H23" s="130"/>
      <c r="I23" s="131"/>
      <c r="J23" s="131"/>
      <c r="K23" s="132">
        <f t="shared" si="12"/>
        <v>0</v>
      </c>
      <c r="L23" s="133"/>
      <c r="M23" s="133"/>
      <c r="N23" s="133"/>
      <c r="O23" s="133"/>
      <c r="P23" s="133"/>
      <c r="Q23" s="133"/>
      <c r="R23" s="133"/>
      <c r="S23" s="133"/>
      <c r="T23" s="70">
        <f t="shared" si="19"/>
        <v>0</v>
      </c>
      <c r="U23" s="71">
        <v>10</v>
      </c>
      <c r="V23" s="71">
        <v>350</v>
      </c>
      <c r="W23" s="70">
        <f t="shared" si="13"/>
        <v>3500</v>
      </c>
      <c r="X23" s="71">
        <v>25</v>
      </c>
      <c r="Y23" s="71">
        <v>1200</v>
      </c>
      <c r="Z23" s="70">
        <f t="shared" si="18"/>
        <v>30000</v>
      </c>
      <c r="AA23" s="72"/>
      <c r="AB23" s="72"/>
      <c r="AC23" s="70">
        <f t="shared" si="14"/>
        <v>0</v>
      </c>
      <c r="AD23" s="70"/>
      <c r="AE23" s="70"/>
      <c r="AF23" s="91"/>
      <c r="AG23" s="91"/>
      <c r="AH23" s="70">
        <f t="shared" si="15"/>
        <v>0</v>
      </c>
      <c r="AI23" s="91"/>
      <c r="AJ23" s="91"/>
      <c r="AK23" s="70">
        <f t="shared" si="16"/>
        <v>0</v>
      </c>
      <c r="AL23" s="70"/>
      <c r="AM23" s="70">
        <f t="shared" si="7"/>
        <v>33500</v>
      </c>
      <c r="AN23" s="73"/>
      <c r="AO23" s="73">
        <f>AM23</f>
        <v>33500</v>
      </c>
      <c r="AP23" s="73"/>
      <c r="AQ23" s="73"/>
      <c r="AR23" s="73"/>
      <c r="AS23" s="74">
        <f t="shared" si="8"/>
        <v>0</v>
      </c>
      <c r="AU23" s="973">
        <f aca="true" t="shared" si="22" ref="AU23:BA23">AM23+AM24+AM25</f>
        <v>146000</v>
      </c>
      <c r="AV23" s="973">
        <f t="shared" si="22"/>
        <v>0</v>
      </c>
      <c r="AW23" s="973">
        <f t="shared" si="22"/>
        <v>146000</v>
      </c>
      <c r="AX23" s="973">
        <f t="shared" si="22"/>
        <v>0</v>
      </c>
      <c r="AY23" s="973">
        <f t="shared" si="22"/>
        <v>0</v>
      </c>
      <c r="AZ23" s="973">
        <f t="shared" si="22"/>
        <v>0</v>
      </c>
      <c r="BA23" s="973">
        <f t="shared" si="22"/>
        <v>0</v>
      </c>
      <c r="BB23" s="215"/>
    </row>
    <row r="24" spans="1:54" s="78" customFormat="1" ht="48" customHeight="1" thickBot="1">
      <c r="A24" s="1000"/>
      <c r="B24" s="996"/>
      <c r="C24" s="994"/>
      <c r="D24" s="1002"/>
      <c r="E24" s="108" t="s">
        <v>54</v>
      </c>
      <c r="F24" s="108" t="s">
        <v>356</v>
      </c>
      <c r="G24" s="108" t="s">
        <v>33</v>
      </c>
      <c r="H24" s="37"/>
      <c r="I24" s="2"/>
      <c r="J24" s="2"/>
      <c r="K24" s="170">
        <f t="shared" si="12"/>
        <v>0</v>
      </c>
      <c r="L24" s="8"/>
      <c r="M24" s="8"/>
      <c r="N24" s="8"/>
      <c r="O24" s="8"/>
      <c r="P24" s="8"/>
      <c r="Q24" s="8"/>
      <c r="R24" s="8"/>
      <c r="S24" s="8"/>
      <c r="T24" s="70">
        <f t="shared" si="19"/>
        <v>0</v>
      </c>
      <c r="U24" s="39"/>
      <c r="V24" s="39"/>
      <c r="W24" s="58">
        <f t="shared" si="13"/>
        <v>0</v>
      </c>
      <c r="X24" s="39"/>
      <c r="Y24" s="39"/>
      <c r="Z24" s="58">
        <f t="shared" si="18"/>
        <v>0</v>
      </c>
      <c r="AA24" s="42"/>
      <c r="AB24" s="42"/>
      <c r="AC24" s="58">
        <f t="shared" si="14"/>
        <v>0</v>
      </c>
      <c r="AD24" s="58"/>
      <c r="AE24" s="58">
        <v>70000</v>
      </c>
      <c r="AF24" s="651">
        <v>50</v>
      </c>
      <c r="AG24" s="651">
        <v>600</v>
      </c>
      <c r="AH24" s="58">
        <f t="shared" si="15"/>
        <v>30000</v>
      </c>
      <c r="AI24" s="651">
        <v>50</v>
      </c>
      <c r="AJ24" s="651">
        <v>250</v>
      </c>
      <c r="AK24" s="58">
        <f t="shared" si="16"/>
        <v>12500</v>
      </c>
      <c r="AL24" s="58"/>
      <c r="AM24" s="70">
        <f t="shared" si="7"/>
        <v>112500</v>
      </c>
      <c r="AN24" s="76"/>
      <c r="AO24" s="76">
        <v>112500</v>
      </c>
      <c r="AP24" s="76"/>
      <c r="AQ24" s="76"/>
      <c r="AR24" s="76"/>
      <c r="AS24" s="74">
        <f t="shared" si="8"/>
        <v>0</v>
      </c>
      <c r="AU24" s="976"/>
      <c r="AV24" s="976"/>
      <c r="AW24" s="976"/>
      <c r="AX24" s="976"/>
      <c r="AY24" s="976"/>
      <c r="AZ24" s="976"/>
      <c r="BA24" s="976"/>
      <c r="BB24" s="215"/>
    </row>
    <row r="25" spans="1:54" s="9" customFormat="1" ht="38.25" customHeight="1" thickBot="1">
      <c r="A25" s="1014"/>
      <c r="B25" s="997"/>
      <c r="C25" s="995"/>
      <c r="D25" s="1003"/>
      <c r="E25" s="111" t="s">
        <v>55</v>
      </c>
      <c r="F25" s="111" t="s">
        <v>357</v>
      </c>
      <c r="G25" s="107" t="s">
        <v>287</v>
      </c>
      <c r="H25" s="137"/>
      <c r="I25" s="138"/>
      <c r="J25" s="138"/>
      <c r="K25" s="187">
        <f t="shared" si="12"/>
        <v>0</v>
      </c>
      <c r="L25" s="139"/>
      <c r="M25" s="140"/>
      <c r="N25" s="79"/>
      <c r="O25" s="79"/>
      <c r="P25" s="79"/>
      <c r="Q25" s="79"/>
      <c r="R25" s="79"/>
      <c r="S25" s="79"/>
      <c r="T25" s="70">
        <f t="shared" si="19"/>
        <v>0</v>
      </c>
      <c r="U25" s="79"/>
      <c r="V25" s="79"/>
      <c r="W25" s="66">
        <f t="shared" si="13"/>
        <v>0</v>
      </c>
      <c r="X25" s="79"/>
      <c r="Y25" s="79"/>
      <c r="Z25" s="66">
        <f t="shared" si="18"/>
        <v>0</v>
      </c>
      <c r="AA25" s="80"/>
      <c r="AB25" s="80"/>
      <c r="AC25" s="66">
        <f t="shared" si="14"/>
        <v>0</v>
      </c>
      <c r="AD25" s="81"/>
      <c r="AE25" s="81"/>
      <c r="AF25" s="650"/>
      <c r="AG25" s="650"/>
      <c r="AH25" s="66">
        <f t="shared" si="15"/>
        <v>0</v>
      </c>
      <c r="AI25" s="650"/>
      <c r="AJ25" s="650"/>
      <c r="AK25" s="66">
        <f t="shared" si="16"/>
        <v>0</v>
      </c>
      <c r="AL25" s="82"/>
      <c r="AM25" s="70">
        <f t="shared" si="7"/>
        <v>0</v>
      </c>
      <c r="AN25" s="83"/>
      <c r="AO25" s="83"/>
      <c r="AP25" s="83"/>
      <c r="AQ25" s="83"/>
      <c r="AR25" s="83"/>
      <c r="AS25" s="74">
        <f t="shared" si="8"/>
        <v>0</v>
      </c>
      <c r="AU25" s="974"/>
      <c r="AV25" s="974"/>
      <c r="AW25" s="974"/>
      <c r="AX25" s="974"/>
      <c r="AY25" s="974"/>
      <c r="AZ25" s="974"/>
      <c r="BA25" s="974"/>
      <c r="BB25" s="215"/>
    </row>
    <row r="26" spans="1:54" s="9" customFormat="1" ht="39" customHeight="1" thickBot="1">
      <c r="A26" s="987">
        <v>3</v>
      </c>
      <c r="B26" s="1018" t="s">
        <v>361</v>
      </c>
      <c r="C26" s="998">
        <v>3.1</v>
      </c>
      <c r="D26" s="1007" t="s">
        <v>362</v>
      </c>
      <c r="E26" s="108" t="s">
        <v>22</v>
      </c>
      <c r="F26" s="761" t="s">
        <v>358</v>
      </c>
      <c r="G26" s="107" t="s">
        <v>287</v>
      </c>
      <c r="H26" s="37"/>
      <c r="I26" s="146"/>
      <c r="J26" s="146"/>
      <c r="K26" s="170">
        <f t="shared" si="12"/>
        <v>0</v>
      </c>
      <c r="L26" s="8"/>
      <c r="M26" s="145"/>
      <c r="N26" s="92"/>
      <c r="O26" s="92"/>
      <c r="P26" s="92"/>
      <c r="Q26" s="92"/>
      <c r="R26" s="92"/>
      <c r="S26" s="92"/>
      <c r="T26" s="70">
        <f t="shared" si="19"/>
        <v>0</v>
      </c>
      <c r="U26" s="92"/>
      <c r="V26" s="92"/>
      <c r="W26" s="58">
        <f t="shared" si="13"/>
        <v>0</v>
      </c>
      <c r="X26" s="92"/>
      <c r="Y26" s="92"/>
      <c r="Z26" s="58">
        <f t="shared" si="18"/>
        <v>0</v>
      </c>
      <c r="AA26" s="93"/>
      <c r="AB26" s="93"/>
      <c r="AC26" s="58">
        <f t="shared" si="14"/>
        <v>0</v>
      </c>
      <c r="AD26" s="94"/>
      <c r="AE26" s="94"/>
      <c r="AF26" s="653"/>
      <c r="AG26" s="653"/>
      <c r="AH26" s="58">
        <f t="shared" si="15"/>
        <v>0</v>
      </c>
      <c r="AI26" s="653"/>
      <c r="AJ26" s="653"/>
      <c r="AK26" s="58">
        <f t="shared" si="16"/>
        <v>0</v>
      </c>
      <c r="AL26" s="95"/>
      <c r="AM26" s="70">
        <f t="shared" si="7"/>
        <v>0</v>
      </c>
      <c r="AN26" s="76"/>
      <c r="AO26" s="76"/>
      <c r="AP26" s="76"/>
      <c r="AQ26" s="76"/>
      <c r="AR26" s="76"/>
      <c r="AS26" s="74">
        <f t="shared" si="8"/>
        <v>0</v>
      </c>
      <c r="AU26" s="973">
        <f aca="true" t="shared" si="23" ref="AU26:BA26">AM26+AM27+AM28</f>
        <v>0</v>
      </c>
      <c r="AV26" s="973">
        <f t="shared" si="23"/>
        <v>0</v>
      </c>
      <c r="AW26" s="973">
        <f t="shared" si="23"/>
        <v>0</v>
      </c>
      <c r="AX26" s="973">
        <f t="shared" si="23"/>
        <v>0</v>
      </c>
      <c r="AY26" s="973">
        <f t="shared" si="23"/>
        <v>0</v>
      </c>
      <c r="AZ26" s="973">
        <f t="shared" si="23"/>
        <v>0</v>
      </c>
      <c r="BA26" s="973">
        <f t="shared" si="23"/>
        <v>0</v>
      </c>
      <c r="BB26" s="215"/>
    </row>
    <row r="27" spans="1:54" ht="63.75" customHeight="1" thickBot="1">
      <c r="A27" s="988"/>
      <c r="B27" s="1019"/>
      <c r="C27" s="999"/>
      <c r="D27" s="1008"/>
      <c r="E27" s="115" t="s">
        <v>23</v>
      </c>
      <c r="F27" s="115" t="s">
        <v>364</v>
      </c>
      <c r="G27" s="107" t="s">
        <v>287</v>
      </c>
      <c r="H27" s="134"/>
      <c r="I27" s="135"/>
      <c r="J27" s="135"/>
      <c r="K27" s="170">
        <f t="shared" si="12"/>
        <v>0</v>
      </c>
      <c r="L27" s="143"/>
      <c r="M27" s="143"/>
      <c r="N27" s="143"/>
      <c r="O27" s="143"/>
      <c r="P27" s="143"/>
      <c r="Q27" s="143"/>
      <c r="R27" s="143"/>
      <c r="S27" s="143"/>
      <c r="T27" s="70">
        <f t="shared" si="19"/>
        <v>0</v>
      </c>
      <c r="U27" s="87"/>
      <c r="V27" s="87"/>
      <c r="W27" s="88"/>
      <c r="X27" s="87"/>
      <c r="Y27" s="87"/>
      <c r="Z27" s="88"/>
      <c r="AA27" s="89"/>
      <c r="AB27" s="89"/>
      <c r="AC27" s="88"/>
      <c r="AD27" s="88"/>
      <c r="AE27" s="88"/>
      <c r="AF27" s="648"/>
      <c r="AG27" s="648"/>
      <c r="AH27" s="88"/>
      <c r="AI27" s="648"/>
      <c r="AJ27" s="648"/>
      <c r="AK27" s="88"/>
      <c r="AL27" s="88"/>
      <c r="AM27" s="70">
        <f t="shared" si="7"/>
        <v>0</v>
      </c>
      <c r="AN27" s="90"/>
      <c r="AO27" s="90"/>
      <c r="AP27" s="90"/>
      <c r="AQ27" s="90"/>
      <c r="AR27" s="90"/>
      <c r="AS27" s="74">
        <f t="shared" si="8"/>
        <v>0</v>
      </c>
      <c r="AU27" s="976"/>
      <c r="AV27" s="976"/>
      <c r="AW27" s="976"/>
      <c r="AX27" s="976"/>
      <c r="AY27" s="976"/>
      <c r="AZ27" s="976"/>
      <c r="BA27" s="976"/>
      <c r="BB27" s="215"/>
    </row>
    <row r="28" spans="1:54" ht="63" customHeight="1" thickBot="1">
      <c r="A28" s="988"/>
      <c r="B28" s="1019"/>
      <c r="C28" s="999"/>
      <c r="D28" s="1021"/>
      <c r="E28" s="108" t="s">
        <v>24</v>
      </c>
      <c r="F28" s="111" t="s">
        <v>365</v>
      </c>
      <c r="G28" s="107" t="s">
        <v>287</v>
      </c>
      <c r="H28" s="37"/>
      <c r="I28" s="2"/>
      <c r="J28" s="2"/>
      <c r="K28" s="170">
        <f>H28*I28*J28</f>
        <v>0</v>
      </c>
      <c r="L28" s="8"/>
      <c r="M28" s="8"/>
      <c r="N28" s="8"/>
      <c r="O28" s="8"/>
      <c r="P28" s="8"/>
      <c r="Q28" s="8"/>
      <c r="R28" s="8"/>
      <c r="S28" s="8"/>
      <c r="T28" s="70">
        <f t="shared" si="19"/>
        <v>0</v>
      </c>
      <c r="U28" s="39"/>
      <c r="V28" s="39"/>
      <c r="W28" s="58">
        <f>U28*V28</f>
        <v>0</v>
      </c>
      <c r="X28" s="39"/>
      <c r="Y28" s="39"/>
      <c r="Z28" s="58">
        <f>X28*Y28</f>
        <v>0</v>
      </c>
      <c r="AA28" s="42"/>
      <c r="AB28" s="42"/>
      <c r="AC28" s="58">
        <f>AA28*AB28</f>
        <v>0</v>
      </c>
      <c r="AD28" s="58"/>
      <c r="AE28" s="58"/>
      <c r="AF28" s="651"/>
      <c r="AG28" s="651"/>
      <c r="AH28" s="58">
        <f>AF28*AG28</f>
        <v>0</v>
      </c>
      <c r="AI28" s="651"/>
      <c r="AJ28" s="651"/>
      <c r="AK28" s="58">
        <f>AI28*AJ28</f>
        <v>0</v>
      </c>
      <c r="AL28" s="58"/>
      <c r="AM28" s="70">
        <f t="shared" si="7"/>
        <v>0</v>
      </c>
      <c r="AN28" s="76"/>
      <c r="AO28" s="76"/>
      <c r="AP28" s="76"/>
      <c r="AQ28" s="76"/>
      <c r="AR28" s="76"/>
      <c r="AS28" s="74">
        <f t="shared" si="8"/>
        <v>0</v>
      </c>
      <c r="AU28" s="974"/>
      <c r="AV28" s="974"/>
      <c r="AW28" s="974"/>
      <c r="AX28" s="974"/>
      <c r="AY28" s="974"/>
      <c r="AZ28" s="974"/>
      <c r="BA28" s="974"/>
      <c r="BB28" s="215"/>
    </row>
    <row r="29" spans="1:54" ht="49.5" customHeight="1" thickBot="1">
      <c r="A29" s="988"/>
      <c r="B29" s="1019"/>
      <c r="C29" s="990">
        <v>3.2</v>
      </c>
      <c r="D29" s="1007" t="s">
        <v>363</v>
      </c>
      <c r="E29" s="119" t="s">
        <v>25</v>
      </c>
      <c r="F29" s="762" t="s">
        <v>366</v>
      </c>
      <c r="G29" s="107"/>
      <c r="H29" s="130"/>
      <c r="I29" s="131"/>
      <c r="J29" s="131"/>
      <c r="K29" s="132">
        <f>H29*I29*J29</f>
        <v>0</v>
      </c>
      <c r="L29" s="133"/>
      <c r="M29" s="133"/>
      <c r="N29" s="133"/>
      <c r="O29" s="133"/>
      <c r="P29" s="133"/>
      <c r="Q29" s="133"/>
      <c r="R29" s="133"/>
      <c r="S29" s="143"/>
      <c r="T29" s="70">
        <f t="shared" si="19"/>
        <v>0</v>
      </c>
      <c r="U29" s="71"/>
      <c r="V29" s="71"/>
      <c r="W29" s="70">
        <f>U29*V29</f>
        <v>0</v>
      </c>
      <c r="X29" s="123"/>
      <c r="Y29" s="71"/>
      <c r="Z29" s="58">
        <f>X29*Y29</f>
        <v>0</v>
      </c>
      <c r="AA29" s="72"/>
      <c r="AB29" s="72"/>
      <c r="AC29" s="70">
        <f>AA29*AB29</f>
        <v>0</v>
      </c>
      <c r="AD29" s="70"/>
      <c r="AE29" s="70"/>
      <c r="AF29" s="651"/>
      <c r="AG29" s="651"/>
      <c r="AH29" s="70">
        <f aca="true" t="shared" si="24" ref="AH29:AH42">AF29*AG29</f>
        <v>0</v>
      </c>
      <c r="AI29" s="651"/>
      <c r="AJ29" s="651"/>
      <c r="AK29" s="70">
        <f aca="true" t="shared" si="25" ref="AK29:AK42">AI29*AJ29</f>
        <v>0</v>
      </c>
      <c r="AL29" s="70"/>
      <c r="AM29" s="70">
        <f t="shared" si="7"/>
        <v>0</v>
      </c>
      <c r="AN29" s="76"/>
      <c r="AO29" s="76"/>
      <c r="AP29" s="76"/>
      <c r="AQ29" s="76"/>
      <c r="AR29" s="76"/>
      <c r="AS29" s="74">
        <f t="shared" si="8"/>
        <v>0</v>
      </c>
      <c r="AU29" s="973">
        <f aca="true" t="shared" si="26" ref="AU29:BA29">AM29+AM30+AM31+AM32</f>
        <v>0</v>
      </c>
      <c r="AV29" s="973">
        <f t="shared" si="26"/>
        <v>0</v>
      </c>
      <c r="AW29" s="973">
        <f t="shared" si="26"/>
        <v>0</v>
      </c>
      <c r="AX29" s="973">
        <f t="shared" si="26"/>
        <v>0</v>
      </c>
      <c r="AY29" s="973">
        <f t="shared" si="26"/>
        <v>0</v>
      </c>
      <c r="AZ29" s="973">
        <f t="shared" si="26"/>
        <v>0</v>
      </c>
      <c r="BA29" s="973">
        <f t="shared" si="26"/>
        <v>0</v>
      </c>
      <c r="BB29" s="215"/>
    </row>
    <row r="30" spans="1:54" ht="42" customHeight="1" thickBot="1">
      <c r="A30" s="988"/>
      <c r="B30" s="1019"/>
      <c r="C30" s="991"/>
      <c r="D30" s="1008"/>
      <c r="E30" s="120" t="s">
        <v>26</v>
      </c>
      <c r="F30" s="115" t="s">
        <v>367</v>
      </c>
      <c r="G30" s="108"/>
      <c r="H30" s="134"/>
      <c r="I30" s="135"/>
      <c r="J30" s="135"/>
      <c r="K30" s="192"/>
      <c r="L30" s="143"/>
      <c r="M30" s="143"/>
      <c r="N30" s="143"/>
      <c r="O30" s="143"/>
      <c r="P30" s="143"/>
      <c r="Q30" s="143"/>
      <c r="R30" s="143"/>
      <c r="S30" s="143"/>
      <c r="T30" s="70">
        <f t="shared" si="19"/>
        <v>0</v>
      </c>
      <c r="U30" s="87"/>
      <c r="V30" s="87"/>
      <c r="W30" s="88"/>
      <c r="X30" s="123"/>
      <c r="Y30" s="87"/>
      <c r="Z30" s="58"/>
      <c r="AA30" s="89"/>
      <c r="AB30" s="89"/>
      <c r="AC30" s="88"/>
      <c r="AD30" s="88"/>
      <c r="AE30" s="88"/>
      <c r="AF30" s="651"/>
      <c r="AG30" s="651"/>
      <c r="AH30" s="88"/>
      <c r="AI30" s="651"/>
      <c r="AJ30" s="651"/>
      <c r="AK30" s="88"/>
      <c r="AL30" s="88"/>
      <c r="AM30" s="70">
        <f t="shared" si="7"/>
        <v>0</v>
      </c>
      <c r="AN30" s="76"/>
      <c r="AO30" s="76"/>
      <c r="AP30" s="76"/>
      <c r="AQ30" s="76"/>
      <c r="AR30" s="76"/>
      <c r="AS30" s="74">
        <f t="shared" si="8"/>
        <v>0</v>
      </c>
      <c r="AU30" s="976"/>
      <c r="AV30" s="976"/>
      <c r="AW30" s="976"/>
      <c r="AX30" s="976"/>
      <c r="AY30" s="976"/>
      <c r="AZ30" s="976"/>
      <c r="BA30" s="976"/>
      <c r="BB30" s="215"/>
    </row>
    <row r="31" spans="1:54" ht="50.25" customHeight="1" thickBot="1">
      <c r="A31" s="988"/>
      <c r="B31" s="1019"/>
      <c r="C31" s="991"/>
      <c r="D31" s="1008"/>
      <c r="E31" s="121" t="s">
        <v>56</v>
      </c>
      <c r="F31" s="115" t="s">
        <v>368</v>
      </c>
      <c r="G31" s="108"/>
      <c r="H31" s="37"/>
      <c r="I31" s="2"/>
      <c r="J31" s="2"/>
      <c r="K31" s="170">
        <f>H31*I31*J31</f>
        <v>0</v>
      </c>
      <c r="L31" s="8"/>
      <c r="M31" s="8"/>
      <c r="N31" s="8"/>
      <c r="O31" s="8"/>
      <c r="P31" s="8"/>
      <c r="Q31" s="8"/>
      <c r="R31" s="8"/>
      <c r="S31" s="8"/>
      <c r="T31" s="70">
        <f t="shared" si="19"/>
        <v>0</v>
      </c>
      <c r="U31" s="39"/>
      <c r="V31" s="39"/>
      <c r="W31" s="58">
        <f aca="true" t="shared" si="27" ref="W31:W42">U31*V31</f>
        <v>0</v>
      </c>
      <c r="X31" s="123"/>
      <c r="Y31" s="39"/>
      <c r="Z31" s="58">
        <f>X31*Y31</f>
        <v>0</v>
      </c>
      <c r="AA31" s="42"/>
      <c r="AB31" s="42"/>
      <c r="AC31" s="58">
        <f>AA31*AB31</f>
        <v>0</v>
      </c>
      <c r="AD31" s="58"/>
      <c r="AE31" s="58"/>
      <c r="AF31" s="651"/>
      <c r="AG31" s="651"/>
      <c r="AH31" s="58">
        <f t="shared" si="24"/>
        <v>0</v>
      </c>
      <c r="AI31" s="651"/>
      <c r="AJ31" s="651"/>
      <c r="AK31" s="58">
        <f t="shared" si="25"/>
        <v>0</v>
      </c>
      <c r="AL31" s="58"/>
      <c r="AM31" s="70">
        <f t="shared" si="7"/>
        <v>0</v>
      </c>
      <c r="AN31" s="76"/>
      <c r="AO31" s="76"/>
      <c r="AP31" s="76"/>
      <c r="AQ31" s="76"/>
      <c r="AR31" s="76"/>
      <c r="AS31" s="74">
        <f t="shared" si="8"/>
        <v>0</v>
      </c>
      <c r="AU31" s="976"/>
      <c r="AV31" s="976"/>
      <c r="AW31" s="976"/>
      <c r="AX31" s="976"/>
      <c r="AY31" s="976"/>
      <c r="AZ31" s="976"/>
      <c r="BA31" s="976"/>
      <c r="BB31" s="215"/>
    </row>
    <row r="32" spans="1:54" ht="53.25" customHeight="1" thickBot="1">
      <c r="A32" s="989"/>
      <c r="B32" s="1020"/>
      <c r="C32" s="992"/>
      <c r="D32" s="1006"/>
      <c r="E32" s="108" t="s">
        <v>57</v>
      </c>
      <c r="F32" s="763" t="s">
        <v>369</v>
      </c>
      <c r="G32" s="107" t="s">
        <v>287</v>
      </c>
      <c r="H32" s="144"/>
      <c r="I32" s="161"/>
      <c r="J32" s="161"/>
      <c r="K32" s="198"/>
      <c r="L32" s="162"/>
      <c r="M32" s="162"/>
      <c r="N32" s="162"/>
      <c r="O32" s="162"/>
      <c r="P32" s="162"/>
      <c r="Q32" s="162"/>
      <c r="R32" s="162"/>
      <c r="S32" s="162"/>
      <c r="T32" s="70">
        <f t="shared" si="19"/>
        <v>0</v>
      </c>
      <c r="U32" s="96"/>
      <c r="V32" s="96"/>
      <c r="W32" s="97"/>
      <c r="X32" s="96"/>
      <c r="Y32" s="96"/>
      <c r="Z32" s="97"/>
      <c r="AA32" s="98"/>
      <c r="AB32" s="98"/>
      <c r="AC32" s="97"/>
      <c r="AD32" s="97"/>
      <c r="AE32" s="97"/>
      <c r="AF32" s="654"/>
      <c r="AG32" s="654"/>
      <c r="AH32" s="97"/>
      <c r="AI32" s="654"/>
      <c r="AJ32" s="654"/>
      <c r="AK32" s="97"/>
      <c r="AL32" s="97"/>
      <c r="AM32" s="70">
        <f t="shared" si="7"/>
        <v>0</v>
      </c>
      <c r="AN32" s="99"/>
      <c r="AO32" s="99"/>
      <c r="AP32" s="99"/>
      <c r="AQ32" s="99"/>
      <c r="AR32" s="99"/>
      <c r="AS32" s="74">
        <f t="shared" si="8"/>
        <v>0</v>
      </c>
      <c r="AU32" s="974"/>
      <c r="AV32" s="974"/>
      <c r="AW32" s="974"/>
      <c r="AX32" s="974"/>
      <c r="AY32" s="974"/>
      <c r="AZ32" s="974"/>
      <c r="BA32" s="974"/>
      <c r="BB32" s="215"/>
    </row>
    <row r="33" spans="1:54" ht="48.75" customHeight="1" thickBot="1">
      <c r="A33" s="1000">
        <v>4</v>
      </c>
      <c r="B33" s="1022" t="s">
        <v>370</v>
      </c>
      <c r="C33" s="1013">
        <v>4.1</v>
      </c>
      <c r="D33" s="1004" t="s">
        <v>371</v>
      </c>
      <c r="E33" s="107" t="s">
        <v>27</v>
      </c>
      <c r="F33" s="107" t="s">
        <v>374</v>
      </c>
      <c r="G33" s="107" t="s">
        <v>287</v>
      </c>
      <c r="H33" s="130"/>
      <c r="I33" s="131"/>
      <c r="J33" s="131"/>
      <c r="K33" s="132">
        <f>H33*I33*J33</f>
        <v>0</v>
      </c>
      <c r="L33" s="133"/>
      <c r="M33" s="133"/>
      <c r="N33" s="133"/>
      <c r="O33" s="133"/>
      <c r="P33" s="133"/>
      <c r="Q33" s="133"/>
      <c r="R33" s="133"/>
      <c r="S33" s="143"/>
      <c r="T33" s="70">
        <f t="shared" si="19"/>
        <v>0</v>
      </c>
      <c r="U33" s="71"/>
      <c r="V33" s="71"/>
      <c r="W33" s="70">
        <f t="shared" si="27"/>
        <v>0</v>
      </c>
      <c r="X33" s="71"/>
      <c r="Y33" s="71"/>
      <c r="Z33" s="58">
        <f>X33*Y33</f>
        <v>0</v>
      </c>
      <c r="AA33" s="72"/>
      <c r="AB33" s="72"/>
      <c r="AC33" s="70">
        <f>AA33*AB33</f>
        <v>0</v>
      </c>
      <c r="AD33" s="70"/>
      <c r="AE33" s="70"/>
      <c r="AF33" s="651"/>
      <c r="AG33" s="651"/>
      <c r="AH33" s="70">
        <f t="shared" si="24"/>
        <v>0</v>
      </c>
      <c r="AI33" s="651"/>
      <c r="AJ33" s="651"/>
      <c r="AK33" s="70">
        <f t="shared" si="25"/>
        <v>0</v>
      </c>
      <c r="AL33" s="70">
        <v>9000</v>
      </c>
      <c r="AM33" s="70">
        <f t="shared" si="7"/>
        <v>9000</v>
      </c>
      <c r="AN33" s="73">
        <f>AM33*0.67</f>
        <v>6030</v>
      </c>
      <c r="AO33" s="76">
        <v>2970</v>
      </c>
      <c r="AP33" s="76"/>
      <c r="AQ33" s="76"/>
      <c r="AR33" s="76"/>
      <c r="AS33" s="74">
        <f t="shared" si="8"/>
        <v>0</v>
      </c>
      <c r="AU33" s="973">
        <f aca="true" t="shared" si="28" ref="AU33:BA33">AM33+AM34</f>
        <v>18120</v>
      </c>
      <c r="AV33" s="973">
        <f t="shared" si="28"/>
        <v>12140.400000000001</v>
      </c>
      <c r="AW33" s="973">
        <f t="shared" si="28"/>
        <v>5980</v>
      </c>
      <c r="AX33" s="973">
        <f t="shared" si="28"/>
        <v>0</v>
      </c>
      <c r="AY33" s="973">
        <f t="shared" si="28"/>
        <v>0</v>
      </c>
      <c r="AZ33" s="973">
        <f t="shared" si="28"/>
        <v>0</v>
      </c>
      <c r="BA33" s="973">
        <f t="shared" si="28"/>
        <v>-0.4000000000005457</v>
      </c>
      <c r="BB33" s="215"/>
    </row>
    <row r="34" spans="1:54" ht="42.75" customHeight="1" thickBot="1">
      <c r="A34" s="1000"/>
      <c r="B34" s="1022"/>
      <c r="C34" s="1013"/>
      <c r="D34" s="1004"/>
      <c r="E34" s="108" t="s">
        <v>58</v>
      </c>
      <c r="F34" s="764" t="s">
        <v>375</v>
      </c>
      <c r="G34" s="108" t="s">
        <v>360</v>
      </c>
      <c r="H34" s="37"/>
      <c r="I34" s="2"/>
      <c r="J34" s="2"/>
      <c r="K34" s="170">
        <f>H34*I34*J34</f>
        <v>0</v>
      </c>
      <c r="L34" s="8"/>
      <c r="M34" s="8"/>
      <c r="N34" s="8"/>
      <c r="O34" s="8"/>
      <c r="P34" s="8"/>
      <c r="Q34" s="8"/>
      <c r="R34" s="8"/>
      <c r="S34" s="8"/>
      <c r="T34" s="70">
        <f t="shared" si="19"/>
        <v>0</v>
      </c>
      <c r="U34" s="39"/>
      <c r="V34" s="39"/>
      <c r="W34" s="58">
        <f t="shared" si="27"/>
        <v>0</v>
      </c>
      <c r="X34" s="39"/>
      <c r="Y34" s="39"/>
      <c r="Z34" s="58">
        <f>X34*Y34</f>
        <v>0</v>
      </c>
      <c r="AA34" s="42"/>
      <c r="AB34" s="42"/>
      <c r="AC34" s="58">
        <f>AA34*AB34</f>
        <v>0</v>
      </c>
      <c r="AD34" s="58"/>
      <c r="AE34" s="58"/>
      <c r="AF34" s="651"/>
      <c r="AG34" s="651"/>
      <c r="AH34" s="58">
        <f t="shared" si="24"/>
        <v>0</v>
      </c>
      <c r="AI34" s="651"/>
      <c r="AJ34" s="651"/>
      <c r="AK34" s="58">
        <f t="shared" si="25"/>
        <v>0</v>
      </c>
      <c r="AL34" s="58">
        <f>(12*1*500)+(12*2*1*80)+(12*1*2*50)</f>
        <v>9120</v>
      </c>
      <c r="AM34" s="70">
        <f t="shared" si="7"/>
        <v>9120</v>
      </c>
      <c r="AN34" s="73">
        <f>AM34*0.67</f>
        <v>6110.400000000001</v>
      </c>
      <c r="AO34" s="76">
        <v>3010</v>
      </c>
      <c r="AP34" s="76"/>
      <c r="AQ34" s="76"/>
      <c r="AR34" s="76"/>
      <c r="AS34" s="74">
        <f t="shared" si="8"/>
        <v>-0.4000000000005457</v>
      </c>
      <c r="AU34" s="974"/>
      <c r="AV34" s="974"/>
      <c r="AW34" s="974"/>
      <c r="AX34" s="974"/>
      <c r="AY34" s="974"/>
      <c r="AZ34" s="974"/>
      <c r="BA34" s="974"/>
      <c r="BB34" s="215"/>
    </row>
    <row r="35" spans="1:54" ht="99.75" customHeight="1" thickBot="1">
      <c r="A35" s="1000"/>
      <c r="B35" s="1022"/>
      <c r="C35" s="1013">
        <v>4.2</v>
      </c>
      <c r="D35" s="1005" t="s">
        <v>372</v>
      </c>
      <c r="E35" s="115" t="s">
        <v>28</v>
      </c>
      <c r="F35" s="765" t="s">
        <v>376</v>
      </c>
      <c r="G35" s="107" t="s">
        <v>287</v>
      </c>
      <c r="H35" s="134"/>
      <c r="I35" s="135"/>
      <c r="J35" s="135"/>
      <c r="K35" s="192"/>
      <c r="L35" s="143"/>
      <c r="M35" s="143"/>
      <c r="N35" s="143"/>
      <c r="O35" s="143"/>
      <c r="P35" s="143"/>
      <c r="Q35" s="143"/>
      <c r="R35" s="143"/>
      <c r="S35" s="143"/>
      <c r="T35" s="70">
        <f t="shared" si="19"/>
        <v>0</v>
      </c>
      <c r="U35" s="87">
        <v>20</v>
      </c>
      <c r="V35" s="87">
        <v>350</v>
      </c>
      <c r="W35" s="58">
        <f t="shared" si="27"/>
        <v>7000</v>
      </c>
      <c r="X35" s="87">
        <v>20</v>
      </c>
      <c r="Y35" s="87">
        <v>1200</v>
      </c>
      <c r="Z35" s="58">
        <f>X35*Y35</f>
        <v>24000</v>
      </c>
      <c r="AA35" s="89"/>
      <c r="AB35" s="89"/>
      <c r="AC35" s="88"/>
      <c r="AD35" s="88"/>
      <c r="AE35" s="88"/>
      <c r="AF35" s="651"/>
      <c r="AG35" s="651"/>
      <c r="AH35" s="88"/>
      <c r="AI35" s="651"/>
      <c r="AJ35" s="651"/>
      <c r="AK35" s="88"/>
      <c r="AL35" s="88">
        <v>2000</v>
      </c>
      <c r="AM35" s="70">
        <f t="shared" si="7"/>
        <v>33000</v>
      </c>
      <c r="AN35" s="76"/>
      <c r="AO35" s="76">
        <v>33000</v>
      </c>
      <c r="AP35" s="76"/>
      <c r="AQ35" s="76"/>
      <c r="AR35" s="76"/>
      <c r="AS35" s="74">
        <f t="shared" si="8"/>
        <v>0</v>
      </c>
      <c r="AU35" s="973">
        <f aca="true" t="shared" si="29" ref="AU35:BA35">AM35+AM36</f>
        <v>33000</v>
      </c>
      <c r="AV35" s="973">
        <f t="shared" si="29"/>
        <v>0</v>
      </c>
      <c r="AW35" s="973">
        <f t="shared" si="29"/>
        <v>33000</v>
      </c>
      <c r="AX35" s="973">
        <f t="shared" si="29"/>
        <v>0</v>
      </c>
      <c r="AY35" s="973">
        <f t="shared" si="29"/>
        <v>0</v>
      </c>
      <c r="AZ35" s="973">
        <f t="shared" si="29"/>
        <v>0</v>
      </c>
      <c r="BA35" s="973">
        <f t="shared" si="29"/>
        <v>0</v>
      </c>
      <c r="BB35" s="215"/>
    </row>
    <row r="36" spans="1:54" ht="54" customHeight="1" thickBot="1">
      <c r="A36" s="1000"/>
      <c r="B36" s="1022"/>
      <c r="C36" s="1013"/>
      <c r="D36" s="1006"/>
      <c r="E36" s="115" t="s">
        <v>29</v>
      </c>
      <c r="F36" s="766" t="s">
        <v>377</v>
      </c>
      <c r="G36" s="115" t="s">
        <v>33</v>
      </c>
      <c r="H36" s="134"/>
      <c r="I36" s="135"/>
      <c r="J36" s="135"/>
      <c r="K36" s="192"/>
      <c r="L36" s="143"/>
      <c r="M36" s="143"/>
      <c r="N36" s="143"/>
      <c r="O36" s="143"/>
      <c r="P36" s="143"/>
      <c r="Q36" s="143"/>
      <c r="R36" s="143"/>
      <c r="S36" s="143"/>
      <c r="T36" s="70">
        <f t="shared" si="19"/>
        <v>0</v>
      </c>
      <c r="U36" s="87"/>
      <c r="V36" s="87"/>
      <c r="W36" s="88"/>
      <c r="X36" s="87"/>
      <c r="Y36" s="87"/>
      <c r="Z36" s="58"/>
      <c r="AA36" s="89"/>
      <c r="AB36" s="89"/>
      <c r="AC36" s="88"/>
      <c r="AD36" s="88"/>
      <c r="AE36" s="88"/>
      <c r="AF36" s="651"/>
      <c r="AG36" s="651"/>
      <c r="AH36" s="88"/>
      <c r="AI36" s="651"/>
      <c r="AJ36" s="651"/>
      <c r="AK36" s="88"/>
      <c r="AL36" s="88"/>
      <c r="AM36" s="70">
        <f t="shared" si="7"/>
        <v>0</v>
      </c>
      <c r="AN36" s="76"/>
      <c r="AO36" s="76"/>
      <c r="AP36" s="76"/>
      <c r="AQ36" s="76"/>
      <c r="AR36" s="76"/>
      <c r="AS36" s="74">
        <f t="shared" si="8"/>
        <v>0</v>
      </c>
      <c r="AU36" s="974"/>
      <c r="AV36" s="974"/>
      <c r="AW36" s="974"/>
      <c r="AX36" s="974"/>
      <c r="AY36" s="974"/>
      <c r="AZ36" s="974"/>
      <c r="BA36" s="974"/>
      <c r="BB36" s="215"/>
    </row>
    <row r="37" spans="1:54" ht="23.25" thickBot="1">
      <c r="A37" s="1000"/>
      <c r="B37" s="1022"/>
      <c r="C37" s="1013">
        <v>4.3</v>
      </c>
      <c r="D37" s="1004" t="s">
        <v>373</v>
      </c>
      <c r="E37" s="107" t="s">
        <v>59</v>
      </c>
      <c r="F37" s="115" t="s">
        <v>378</v>
      </c>
      <c r="G37" s="107" t="s">
        <v>390</v>
      </c>
      <c r="H37" s="130"/>
      <c r="I37" s="131"/>
      <c r="J37" s="131"/>
      <c r="K37" s="132">
        <f aca="true" t="shared" si="30" ref="K37:K43">H37*I37*J37</f>
        <v>0</v>
      </c>
      <c r="L37" s="133"/>
      <c r="M37" s="133"/>
      <c r="N37" s="133"/>
      <c r="O37" s="133"/>
      <c r="P37" s="133"/>
      <c r="Q37" s="133"/>
      <c r="R37" s="133"/>
      <c r="S37" s="143"/>
      <c r="T37" s="70">
        <f t="shared" si="19"/>
        <v>0</v>
      </c>
      <c r="U37" s="71"/>
      <c r="V37" s="71"/>
      <c r="W37" s="70">
        <f t="shared" si="27"/>
        <v>0</v>
      </c>
      <c r="X37" s="71"/>
      <c r="Y37" s="71"/>
      <c r="Z37" s="58">
        <f aca="true" t="shared" si="31" ref="Z37:Z43">X37*Y37</f>
        <v>0</v>
      </c>
      <c r="AA37" s="72"/>
      <c r="AB37" s="72"/>
      <c r="AC37" s="70">
        <f aca="true" t="shared" si="32" ref="AC37:AC43">AA37*AB37</f>
        <v>0</v>
      </c>
      <c r="AD37" s="70"/>
      <c r="AE37" s="70"/>
      <c r="AF37" s="91"/>
      <c r="AG37" s="91"/>
      <c r="AH37" s="70">
        <f t="shared" si="24"/>
        <v>0</v>
      </c>
      <c r="AI37" s="654"/>
      <c r="AJ37" s="654"/>
      <c r="AK37" s="70">
        <f t="shared" si="25"/>
        <v>0</v>
      </c>
      <c r="AL37" s="70">
        <v>25000</v>
      </c>
      <c r="AM37" s="70">
        <f t="shared" si="7"/>
        <v>25000</v>
      </c>
      <c r="AN37" s="76"/>
      <c r="AO37" s="76">
        <v>25000</v>
      </c>
      <c r="AP37" s="76"/>
      <c r="AQ37" s="76"/>
      <c r="AR37" s="76"/>
      <c r="AS37" s="74">
        <f t="shared" si="8"/>
        <v>0</v>
      </c>
      <c r="AU37" s="75">
        <f aca="true" t="shared" si="33" ref="AU37:BA37">AM37</f>
        <v>25000</v>
      </c>
      <c r="AV37" s="75">
        <f t="shared" si="33"/>
        <v>0</v>
      </c>
      <c r="AW37" s="75">
        <f t="shared" si="33"/>
        <v>25000</v>
      </c>
      <c r="AX37" s="75">
        <f t="shared" si="33"/>
        <v>0</v>
      </c>
      <c r="AY37" s="75">
        <f t="shared" si="33"/>
        <v>0</v>
      </c>
      <c r="AZ37" s="75">
        <f t="shared" si="33"/>
        <v>0</v>
      </c>
      <c r="BA37" s="75">
        <f t="shared" si="33"/>
        <v>0</v>
      </c>
      <c r="BB37" s="215"/>
    </row>
    <row r="38" spans="1:54" ht="16.5" customHeight="1" thickBot="1">
      <c r="A38" s="1000"/>
      <c r="B38" s="1022"/>
      <c r="C38" s="1013"/>
      <c r="D38" s="1004"/>
      <c r="E38" s="108"/>
      <c r="F38" s="108"/>
      <c r="G38" s="108"/>
      <c r="H38" s="37"/>
      <c r="I38" s="146"/>
      <c r="J38" s="146"/>
      <c r="K38" s="170">
        <f t="shared" si="30"/>
        <v>0</v>
      </c>
      <c r="L38" s="8"/>
      <c r="M38" s="145"/>
      <c r="N38" s="92"/>
      <c r="O38" s="92"/>
      <c r="P38" s="92"/>
      <c r="Q38" s="92"/>
      <c r="R38" s="92"/>
      <c r="S38" s="92"/>
      <c r="T38" s="70">
        <f t="shared" si="19"/>
        <v>0</v>
      </c>
      <c r="U38" s="92"/>
      <c r="V38" s="92"/>
      <c r="W38" s="58">
        <f t="shared" si="27"/>
        <v>0</v>
      </c>
      <c r="X38" s="92"/>
      <c r="Y38" s="92"/>
      <c r="Z38" s="58">
        <f t="shared" si="31"/>
        <v>0</v>
      </c>
      <c r="AA38" s="93"/>
      <c r="AB38" s="93"/>
      <c r="AC38" s="58">
        <f t="shared" si="32"/>
        <v>0</v>
      </c>
      <c r="AD38" s="94"/>
      <c r="AE38" s="94"/>
      <c r="AF38" s="653"/>
      <c r="AG38" s="653"/>
      <c r="AH38" s="58">
        <f t="shared" si="24"/>
        <v>0</v>
      </c>
      <c r="AI38" s="651"/>
      <c r="AJ38" s="651"/>
      <c r="AK38" s="58">
        <f t="shared" si="25"/>
        <v>0</v>
      </c>
      <c r="AL38" s="95"/>
      <c r="AM38" s="70">
        <f t="shared" si="7"/>
        <v>0</v>
      </c>
      <c r="AN38" s="76"/>
      <c r="AO38" s="76"/>
      <c r="AP38" s="76"/>
      <c r="AQ38" s="76"/>
      <c r="AR38" s="76"/>
      <c r="AS38" s="74">
        <f t="shared" si="8"/>
        <v>0</v>
      </c>
      <c r="AU38" s="75"/>
      <c r="AV38" s="76"/>
      <c r="AW38" s="77"/>
      <c r="AX38" s="77"/>
      <c r="AY38" s="77"/>
      <c r="AZ38" s="77"/>
      <c r="BA38" s="77"/>
      <c r="BB38" s="215"/>
    </row>
    <row r="39" spans="1:54" ht="54" customHeight="1" thickBot="1">
      <c r="A39" s="984">
        <v>5</v>
      </c>
      <c r="B39" s="1018" t="s">
        <v>379</v>
      </c>
      <c r="C39" s="990">
        <v>5.1</v>
      </c>
      <c r="D39" s="1007" t="s">
        <v>380</v>
      </c>
      <c r="E39" s="107" t="s">
        <v>60</v>
      </c>
      <c r="F39" s="115" t="s">
        <v>384</v>
      </c>
      <c r="G39" s="107" t="s">
        <v>287</v>
      </c>
      <c r="H39" s="130"/>
      <c r="I39" s="131"/>
      <c r="J39" s="131"/>
      <c r="K39" s="132">
        <f t="shared" si="30"/>
        <v>0</v>
      </c>
      <c r="L39" s="133"/>
      <c r="M39" s="133"/>
      <c r="N39" s="133"/>
      <c r="O39" s="133"/>
      <c r="P39" s="133"/>
      <c r="Q39" s="133"/>
      <c r="R39" s="133"/>
      <c r="S39" s="143"/>
      <c r="T39" s="70">
        <f t="shared" si="19"/>
        <v>0</v>
      </c>
      <c r="U39" s="71"/>
      <c r="V39" s="71"/>
      <c r="W39" s="70">
        <f t="shared" si="27"/>
        <v>0</v>
      </c>
      <c r="X39" s="71"/>
      <c r="Y39" s="71"/>
      <c r="Z39" s="58">
        <f t="shared" si="31"/>
        <v>0</v>
      </c>
      <c r="AA39" s="72"/>
      <c r="AB39" s="72"/>
      <c r="AC39" s="70">
        <f t="shared" si="32"/>
        <v>0</v>
      </c>
      <c r="AD39" s="70"/>
      <c r="AE39" s="70"/>
      <c r="AF39" s="91"/>
      <c r="AG39" s="91"/>
      <c r="AH39" s="70">
        <f t="shared" si="24"/>
        <v>0</v>
      </c>
      <c r="AI39" s="91"/>
      <c r="AJ39" s="91"/>
      <c r="AK39" s="70">
        <f t="shared" si="25"/>
        <v>0</v>
      </c>
      <c r="AL39" s="70"/>
      <c r="AM39" s="70">
        <f t="shared" si="7"/>
        <v>0</v>
      </c>
      <c r="AN39" s="76"/>
      <c r="AO39" s="76"/>
      <c r="AP39" s="76"/>
      <c r="AQ39" s="76"/>
      <c r="AR39" s="76"/>
      <c r="AS39" s="74">
        <f t="shared" si="8"/>
        <v>0</v>
      </c>
      <c r="AU39" s="975">
        <f aca="true" t="shared" si="34" ref="AU39:BA39">AM39+AM40</f>
        <v>0</v>
      </c>
      <c r="AV39" s="975">
        <f t="shared" si="34"/>
        <v>0</v>
      </c>
      <c r="AW39" s="975">
        <f t="shared" si="34"/>
        <v>0</v>
      </c>
      <c r="AX39" s="975">
        <f t="shared" si="34"/>
        <v>0</v>
      </c>
      <c r="AY39" s="975">
        <f t="shared" si="34"/>
        <v>0</v>
      </c>
      <c r="AZ39" s="975">
        <f t="shared" si="34"/>
        <v>0</v>
      </c>
      <c r="BA39" s="975">
        <f t="shared" si="34"/>
        <v>0</v>
      </c>
      <c r="BB39" s="215"/>
    </row>
    <row r="40" spans="1:54" ht="37.5" customHeight="1" thickBot="1">
      <c r="A40" s="985"/>
      <c r="B40" s="1019"/>
      <c r="C40" s="991"/>
      <c r="D40" s="1008"/>
      <c r="E40" s="108" t="s">
        <v>61</v>
      </c>
      <c r="F40" s="111" t="s">
        <v>385</v>
      </c>
      <c r="G40" s="107" t="s">
        <v>287</v>
      </c>
      <c r="H40" s="37"/>
      <c r="I40" s="2"/>
      <c r="J40" s="2"/>
      <c r="K40" s="170">
        <f t="shared" si="30"/>
        <v>0</v>
      </c>
      <c r="L40" s="8"/>
      <c r="M40" s="8"/>
      <c r="N40" s="8"/>
      <c r="O40" s="8"/>
      <c r="P40" s="8"/>
      <c r="Q40" s="8"/>
      <c r="R40" s="8"/>
      <c r="S40" s="8"/>
      <c r="T40" s="70">
        <f t="shared" si="19"/>
        <v>0</v>
      </c>
      <c r="U40" s="39"/>
      <c r="V40" s="39"/>
      <c r="W40" s="58">
        <f t="shared" si="27"/>
        <v>0</v>
      </c>
      <c r="X40" s="39"/>
      <c r="Y40" s="39"/>
      <c r="Z40" s="58">
        <f t="shared" si="31"/>
        <v>0</v>
      </c>
      <c r="AA40" s="42"/>
      <c r="AB40" s="42"/>
      <c r="AC40" s="58">
        <f t="shared" si="32"/>
        <v>0</v>
      </c>
      <c r="AD40" s="58"/>
      <c r="AE40" s="58"/>
      <c r="AF40" s="651"/>
      <c r="AG40" s="651"/>
      <c r="AH40" s="58">
        <f t="shared" si="24"/>
        <v>0</v>
      </c>
      <c r="AI40" s="651"/>
      <c r="AJ40" s="651"/>
      <c r="AK40" s="58">
        <f t="shared" si="25"/>
        <v>0</v>
      </c>
      <c r="AL40" s="58"/>
      <c r="AM40" s="70">
        <f t="shared" si="7"/>
        <v>0</v>
      </c>
      <c r="AN40" s="76"/>
      <c r="AO40" s="76"/>
      <c r="AP40" s="76"/>
      <c r="AQ40" s="76"/>
      <c r="AR40" s="76"/>
      <c r="AS40" s="74">
        <f t="shared" si="8"/>
        <v>0</v>
      </c>
      <c r="AU40" s="974"/>
      <c r="AV40" s="974"/>
      <c r="AW40" s="974"/>
      <c r="AX40" s="974"/>
      <c r="AY40" s="974"/>
      <c r="AZ40" s="974"/>
      <c r="BA40" s="974"/>
      <c r="BB40" s="215"/>
    </row>
    <row r="41" spans="1:54" ht="45" customHeight="1" thickBot="1">
      <c r="A41" s="985"/>
      <c r="B41" s="1019"/>
      <c r="C41" s="118">
        <v>5.2</v>
      </c>
      <c r="D41" s="754" t="s">
        <v>381</v>
      </c>
      <c r="E41" s="107" t="s">
        <v>62</v>
      </c>
      <c r="F41" s="127" t="s">
        <v>386</v>
      </c>
      <c r="G41" s="107" t="s">
        <v>63</v>
      </c>
      <c r="H41" s="130"/>
      <c r="I41" s="131"/>
      <c r="J41" s="131"/>
      <c r="K41" s="132">
        <f t="shared" si="30"/>
        <v>0</v>
      </c>
      <c r="L41" s="133"/>
      <c r="M41" s="133"/>
      <c r="N41" s="133"/>
      <c r="O41" s="133"/>
      <c r="P41" s="133"/>
      <c r="Q41" s="133"/>
      <c r="R41" s="133"/>
      <c r="S41" s="143"/>
      <c r="T41" s="70">
        <f t="shared" si="19"/>
        <v>0</v>
      </c>
      <c r="U41" s="71"/>
      <c r="V41" s="71"/>
      <c r="W41" s="70">
        <f t="shared" si="27"/>
        <v>0</v>
      </c>
      <c r="X41" s="71"/>
      <c r="Y41" s="71"/>
      <c r="Z41" s="58">
        <f t="shared" si="31"/>
        <v>0</v>
      </c>
      <c r="AA41" s="72"/>
      <c r="AB41" s="72"/>
      <c r="AC41" s="70">
        <f t="shared" si="32"/>
        <v>0</v>
      </c>
      <c r="AD41" s="70"/>
      <c r="AE41" s="70"/>
      <c r="AF41" s="91"/>
      <c r="AG41" s="91"/>
      <c r="AH41" s="70">
        <f t="shared" si="24"/>
        <v>0</v>
      </c>
      <c r="AI41" s="91"/>
      <c r="AJ41" s="91"/>
      <c r="AK41" s="70">
        <f t="shared" si="25"/>
        <v>0</v>
      </c>
      <c r="AL41" s="70"/>
      <c r="AM41" s="70">
        <f t="shared" si="7"/>
        <v>0</v>
      </c>
      <c r="AN41" s="76"/>
      <c r="AO41" s="76"/>
      <c r="AP41" s="76"/>
      <c r="AQ41" s="76"/>
      <c r="AR41" s="76"/>
      <c r="AS41" s="74">
        <f t="shared" si="8"/>
        <v>0</v>
      </c>
      <c r="AU41" s="75">
        <f aca="true" t="shared" si="35" ref="AU41:BA41">AM41</f>
        <v>0</v>
      </c>
      <c r="AV41" s="75">
        <f t="shared" si="35"/>
        <v>0</v>
      </c>
      <c r="AW41" s="75">
        <f t="shared" si="35"/>
        <v>0</v>
      </c>
      <c r="AX41" s="75">
        <f t="shared" si="35"/>
        <v>0</v>
      </c>
      <c r="AY41" s="75">
        <f t="shared" si="35"/>
        <v>0</v>
      </c>
      <c r="AZ41" s="75">
        <f t="shared" si="35"/>
        <v>0</v>
      </c>
      <c r="BA41" s="75">
        <f t="shared" si="35"/>
        <v>0</v>
      </c>
      <c r="BB41" s="215"/>
    </row>
    <row r="42" spans="1:54" ht="55.5" customHeight="1" thickBot="1">
      <c r="A42" s="985"/>
      <c r="B42" s="1019"/>
      <c r="C42" s="990">
        <v>5.3</v>
      </c>
      <c r="D42" s="1007" t="s">
        <v>382</v>
      </c>
      <c r="E42" s="107" t="s">
        <v>64</v>
      </c>
      <c r="F42" s="115" t="s">
        <v>387</v>
      </c>
      <c r="G42" s="107" t="s">
        <v>287</v>
      </c>
      <c r="H42" s="130">
        <v>1</v>
      </c>
      <c r="I42" s="131">
        <v>400</v>
      </c>
      <c r="J42" s="131">
        <v>60</v>
      </c>
      <c r="K42" s="132">
        <f t="shared" si="30"/>
        <v>24000</v>
      </c>
      <c r="L42" s="133"/>
      <c r="M42" s="133"/>
      <c r="N42" s="133"/>
      <c r="O42" s="133"/>
      <c r="P42" s="133"/>
      <c r="Q42" s="133"/>
      <c r="R42" s="133"/>
      <c r="S42" s="143"/>
      <c r="T42" s="70">
        <f t="shared" si="19"/>
        <v>0</v>
      </c>
      <c r="U42" s="71"/>
      <c r="V42" s="71"/>
      <c r="W42" s="70">
        <f t="shared" si="27"/>
        <v>0</v>
      </c>
      <c r="X42" s="71"/>
      <c r="Y42" s="71"/>
      <c r="Z42" s="58">
        <f t="shared" si="31"/>
        <v>0</v>
      </c>
      <c r="AA42" s="72">
        <v>200</v>
      </c>
      <c r="AB42" s="72">
        <v>20</v>
      </c>
      <c r="AC42" s="70">
        <f t="shared" si="32"/>
        <v>4000</v>
      </c>
      <c r="AD42" s="70"/>
      <c r="AE42" s="70"/>
      <c r="AF42" s="91"/>
      <c r="AG42" s="91"/>
      <c r="AH42" s="70">
        <f t="shared" si="24"/>
        <v>0</v>
      </c>
      <c r="AI42" s="91"/>
      <c r="AJ42" s="91"/>
      <c r="AK42" s="70">
        <f t="shared" si="25"/>
        <v>0</v>
      </c>
      <c r="AL42" s="70"/>
      <c r="AM42" s="70">
        <f t="shared" si="7"/>
        <v>28000</v>
      </c>
      <c r="AN42" s="76">
        <f>4000+9600</f>
        <v>13600</v>
      </c>
      <c r="AO42" s="76">
        <v>14400</v>
      </c>
      <c r="AP42" s="76"/>
      <c r="AQ42" s="76"/>
      <c r="AR42" s="76"/>
      <c r="AS42" s="74">
        <f t="shared" si="8"/>
        <v>0</v>
      </c>
      <c r="AU42" s="973">
        <f aca="true" t="shared" si="36" ref="AU42:BA42">AM42+AM43</f>
        <v>40500</v>
      </c>
      <c r="AV42" s="973">
        <f t="shared" si="36"/>
        <v>26100</v>
      </c>
      <c r="AW42" s="973">
        <f t="shared" si="36"/>
        <v>14400</v>
      </c>
      <c r="AX42" s="973">
        <f t="shared" si="36"/>
        <v>0</v>
      </c>
      <c r="AY42" s="973">
        <f t="shared" si="36"/>
        <v>0</v>
      </c>
      <c r="AZ42" s="973">
        <f t="shared" si="36"/>
        <v>0</v>
      </c>
      <c r="BA42" s="973">
        <f t="shared" si="36"/>
        <v>0</v>
      </c>
      <c r="BB42" s="215"/>
    </row>
    <row r="43" spans="1:54" ht="60.75" customHeight="1" thickBot="1">
      <c r="A43" s="985"/>
      <c r="B43" s="1019"/>
      <c r="C43" s="992"/>
      <c r="D43" s="1006"/>
      <c r="E43" s="108" t="s">
        <v>65</v>
      </c>
      <c r="F43" s="108" t="s">
        <v>388</v>
      </c>
      <c r="G43" s="107" t="s">
        <v>287</v>
      </c>
      <c r="H43" s="37"/>
      <c r="I43" s="2"/>
      <c r="J43" s="2"/>
      <c r="K43" s="170">
        <f t="shared" si="30"/>
        <v>0</v>
      </c>
      <c r="L43" s="8"/>
      <c r="M43" s="8"/>
      <c r="N43" s="8"/>
      <c r="O43" s="8"/>
      <c r="P43" s="8"/>
      <c r="Q43" s="8"/>
      <c r="R43" s="8"/>
      <c r="S43" s="8"/>
      <c r="T43" s="70">
        <f t="shared" si="19"/>
        <v>0</v>
      </c>
      <c r="U43" s="39"/>
      <c r="V43" s="39"/>
      <c r="W43" s="58">
        <f>U43*V43</f>
        <v>0</v>
      </c>
      <c r="X43" s="39"/>
      <c r="Y43" s="39"/>
      <c r="Z43" s="58">
        <f t="shared" si="31"/>
        <v>0</v>
      </c>
      <c r="AA43" s="42"/>
      <c r="AB43" s="42"/>
      <c r="AC43" s="58">
        <f t="shared" si="32"/>
        <v>0</v>
      </c>
      <c r="AD43" s="58"/>
      <c r="AE43" s="58"/>
      <c r="AF43" s="651">
        <v>10</v>
      </c>
      <c r="AG43" s="651">
        <v>900</v>
      </c>
      <c r="AH43" s="58">
        <f>AF43*AG43</f>
        <v>9000</v>
      </c>
      <c r="AI43" s="651">
        <v>10</v>
      </c>
      <c r="AJ43" s="651">
        <v>350</v>
      </c>
      <c r="AK43" s="58">
        <f>AI43*AJ43</f>
        <v>3500</v>
      </c>
      <c r="AL43" s="58"/>
      <c r="AM43" s="70">
        <f t="shared" si="7"/>
        <v>12500</v>
      </c>
      <c r="AN43" s="76">
        <v>12500</v>
      </c>
      <c r="AO43" s="76"/>
      <c r="AP43" s="76"/>
      <c r="AQ43" s="76"/>
      <c r="AR43" s="76"/>
      <c r="AS43" s="74">
        <f t="shared" si="8"/>
        <v>0</v>
      </c>
      <c r="AU43" s="974"/>
      <c r="AV43" s="974"/>
      <c r="AW43" s="974"/>
      <c r="AX43" s="974"/>
      <c r="AY43" s="974"/>
      <c r="AZ43" s="974"/>
      <c r="BA43" s="974"/>
      <c r="BB43" s="215"/>
    </row>
    <row r="44" spans="1:54" ht="63.75" customHeight="1">
      <c r="A44" s="986"/>
      <c r="B44" s="1020"/>
      <c r="C44" s="122">
        <v>5.4</v>
      </c>
      <c r="D44" s="107" t="s">
        <v>383</v>
      </c>
      <c r="E44" s="108" t="s">
        <v>66</v>
      </c>
      <c r="F44" s="108" t="s">
        <v>389</v>
      </c>
      <c r="G44" s="107" t="s">
        <v>287</v>
      </c>
      <c r="H44" s="37"/>
      <c r="I44" s="37"/>
      <c r="J44" s="37"/>
      <c r="K44" s="170"/>
      <c r="L44" s="8"/>
      <c r="M44" s="8"/>
      <c r="N44" s="39"/>
      <c r="O44" s="39"/>
      <c r="P44" s="39"/>
      <c r="Q44" s="39"/>
      <c r="R44" s="39"/>
      <c r="S44" s="39"/>
      <c r="T44" s="70">
        <f t="shared" si="19"/>
        <v>0</v>
      </c>
      <c r="U44" s="39"/>
      <c r="V44" s="39"/>
      <c r="W44" s="58"/>
      <c r="X44" s="39"/>
      <c r="Y44" s="39"/>
      <c r="Z44" s="58"/>
      <c r="AA44" s="42"/>
      <c r="AB44" s="42"/>
      <c r="AC44" s="58"/>
      <c r="AD44" s="58">
        <v>70000</v>
      </c>
      <c r="AE44" s="58"/>
      <c r="AF44" s="651"/>
      <c r="AG44" s="651"/>
      <c r="AH44" s="58"/>
      <c r="AI44" s="651"/>
      <c r="AJ44" s="651"/>
      <c r="AK44" s="58">
        <f>AI44*AJ44</f>
        <v>0</v>
      </c>
      <c r="AL44" s="58"/>
      <c r="AM44" s="70">
        <f t="shared" si="7"/>
        <v>70000</v>
      </c>
      <c r="AN44" s="76">
        <v>70000</v>
      </c>
      <c r="AO44" s="76"/>
      <c r="AP44" s="76"/>
      <c r="AQ44" s="76"/>
      <c r="AR44" s="76"/>
      <c r="AS44" s="74">
        <f t="shared" si="8"/>
        <v>0</v>
      </c>
      <c r="AU44" s="100">
        <f aca="true" t="shared" si="37" ref="AU44:BA44">AM44</f>
        <v>70000</v>
      </c>
      <c r="AV44" s="100">
        <f t="shared" si="37"/>
        <v>70000</v>
      </c>
      <c r="AW44" s="100">
        <f t="shared" si="37"/>
        <v>0</v>
      </c>
      <c r="AX44" s="100">
        <f t="shared" si="37"/>
        <v>0</v>
      </c>
      <c r="AY44" s="100">
        <f t="shared" si="37"/>
        <v>0</v>
      </c>
      <c r="AZ44" s="100">
        <f t="shared" si="37"/>
        <v>0</v>
      </c>
      <c r="BA44" s="100">
        <f t="shared" si="37"/>
        <v>0</v>
      </c>
      <c r="BB44" s="217"/>
    </row>
    <row r="45" spans="2:53" ht="24" customHeight="1">
      <c r="B45" s="124"/>
      <c r="C45" s="124"/>
      <c r="D45" s="124"/>
      <c r="E45" s="124"/>
      <c r="F45" s="125"/>
      <c r="G45" s="125"/>
      <c r="H45" s="126"/>
      <c r="I45" s="126"/>
      <c r="J45" s="126"/>
      <c r="K45" s="126">
        <f>SUM(K8:K44)</f>
        <v>72000</v>
      </c>
      <c r="L45" s="126"/>
      <c r="M45" s="126"/>
      <c r="N45" s="126"/>
      <c r="O45" s="126"/>
      <c r="P45" s="126"/>
      <c r="Q45" s="126"/>
      <c r="R45" s="126"/>
      <c r="S45" s="126"/>
      <c r="T45" s="126">
        <f>SUM(T8:T44)</f>
        <v>501435</v>
      </c>
      <c r="U45" s="126"/>
      <c r="V45" s="126"/>
      <c r="W45" s="126">
        <f>SUM(W8:W44)</f>
        <v>15630</v>
      </c>
      <c r="X45" s="126"/>
      <c r="Y45" s="126"/>
      <c r="Z45" s="126">
        <f>SUM(Z8:Z44)</f>
        <v>124587</v>
      </c>
      <c r="AA45" s="126"/>
      <c r="AB45" s="126"/>
      <c r="AC45" s="126">
        <f>SUM(AC8:AC44)</f>
        <v>4000</v>
      </c>
      <c r="AD45" s="126">
        <f>SUM(AD8:AD44)</f>
        <v>70000</v>
      </c>
      <c r="AE45" s="126">
        <f>SUM(AE8:AE44)</f>
        <v>70000</v>
      </c>
      <c r="AF45" s="126"/>
      <c r="AG45" s="126"/>
      <c r="AH45" s="126">
        <f>SUM(AH8:AH44)</f>
        <v>39000</v>
      </c>
      <c r="AI45" s="126"/>
      <c r="AJ45" s="126"/>
      <c r="AK45" s="126">
        <f>SUM(AK8:AK44)</f>
        <v>16000</v>
      </c>
      <c r="AL45" s="126">
        <f>SUM(AL8:AL44)</f>
        <v>76479</v>
      </c>
      <c r="AM45" s="126">
        <f>SUM(AM8:AM44)</f>
        <v>989131</v>
      </c>
      <c r="AN45" s="126">
        <f aca="true" t="shared" si="38" ref="AN45:AS45">SUM(AN8:AN44)</f>
        <v>317106.515</v>
      </c>
      <c r="AO45" s="126">
        <f t="shared" si="38"/>
        <v>672024.25</v>
      </c>
      <c r="AP45" s="126">
        <f t="shared" si="38"/>
        <v>0</v>
      </c>
      <c r="AQ45" s="126">
        <f t="shared" si="38"/>
        <v>0</v>
      </c>
      <c r="AR45" s="126">
        <f t="shared" si="38"/>
        <v>0</v>
      </c>
      <c r="AS45" s="126">
        <f t="shared" si="38"/>
        <v>0.2349999999796637</v>
      </c>
      <c r="AT45" s="126"/>
      <c r="AU45" s="126">
        <f>SUM(AU8:AU44)</f>
        <v>989131</v>
      </c>
      <c r="AV45" s="126">
        <f>SUM(AV8:AV44)</f>
        <v>317106.515</v>
      </c>
      <c r="AW45" s="126">
        <f>SUM(AW8:AW44)</f>
        <v>672024.25</v>
      </c>
      <c r="AX45" s="126"/>
      <c r="AY45" s="126"/>
      <c r="AZ45" s="126">
        <f>SUM(AZ8:AZ44)</f>
        <v>0</v>
      </c>
      <c r="BA45" s="126">
        <f>SUM(BA8:BA44)</f>
        <v>0.2349999999796637</v>
      </c>
    </row>
    <row r="46" ht="16.5" customHeight="1">
      <c r="BA46" s="218">
        <f>AS45-BA45</f>
        <v>0</v>
      </c>
    </row>
    <row r="47" spans="42:50" ht="16.5" customHeight="1">
      <c r="AP47" s="35">
        <f>AN45+AO45+AP45+AQ45+AR45+AS45</f>
        <v>989131</v>
      </c>
      <c r="AX47" s="35">
        <f>AV45+AW45+BA45</f>
        <v>989131</v>
      </c>
    </row>
    <row r="52" ht="16.5" customHeight="1">
      <c r="AN52" s="35" t="s">
        <v>33</v>
      </c>
    </row>
  </sheetData>
  <sheetProtection/>
  <mergeCells count="149">
    <mergeCell ref="AX18:AX20"/>
    <mergeCell ref="B8:B14"/>
    <mergeCell ref="AS18:AS20"/>
    <mergeCell ref="AW18:AW20"/>
    <mergeCell ref="AN3:AS5"/>
    <mergeCell ref="C18:C20"/>
    <mergeCell ref="AU3:BA5"/>
    <mergeCell ref="B4:B6"/>
    <mergeCell ref="C4:D6"/>
    <mergeCell ref="E4:F6"/>
    <mergeCell ref="AY8:AY9"/>
    <mergeCell ref="AX13:AX14"/>
    <mergeCell ref="AY13:AY14"/>
    <mergeCell ref="B2:Q2"/>
    <mergeCell ref="A3:F3"/>
    <mergeCell ref="H3:K3"/>
    <mergeCell ref="L3:AC3"/>
    <mergeCell ref="D8:D9"/>
    <mergeCell ref="C8:C9"/>
    <mergeCell ref="U4:Z4"/>
    <mergeCell ref="G5:G6"/>
    <mergeCell ref="U5:W5"/>
    <mergeCell ref="H4:K5"/>
    <mergeCell ref="L4:T5"/>
    <mergeCell ref="AL3:AL6"/>
    <mergeCell ref="AD5:AD6"/>
    <mergeCell ref="AO15:AO17"/>
    <mergeCell ref="D18:D20"/>
    <mergeCell ref="C37:C38"/>
    <mergeCell ref="AD3:AK4"/>
    <mergeCell ref="AM3:AM6"/>
    <mergeCell ref="X5:Z5"/>
    <mergeCell ref="AE5:AE6"/>
    <mergeCell ref="AI5:AK5"/>
    <mergeCell ref="D13:D14"/>
    <mergeCell ref="AA4:AC5"/>
    <mergeCell ref="C42:C43"/>
    <mergeCell ref="C33:C34"/>
    <mergeCell ref="B26:B32"/>
    <mergeCell ref="D26:D28"/>
    <mergeCell ref="C39:C40"/>
    <mergeCell ref="B39:B44"/>
    <mergeCell ref="D39:D40"/>
    <mergeCell ref="D42:D43"/>
    <mergeCell ref="B33:B38"/>
    <mergeCell ref="A4:A6"/>
    <mergeCell ref="BA8:BA9"/>
    <mergeCell ref="AU13:AU14"/>
    <mergeCell ref="AV13:AV14"/>
    <mergeCell ref="A8:A14"/>
    <mergeCell ref="C35:C36"/>
    <mergeCell ref="A15:A25"/>
    <mergeCell ref="C13:C14"/>
    <mergeCell ref="AF5:AH5"/>
    <mergeCell ref="C21:C22"/>
    <mergeCell ref="B15:B25"/>
    <mergeCell ref="C26:C28"/>
    <mergeCell ref="A33:A38"/>
    <mergeCell ref="D21:D22"/>
    <mergeCell ref="D23:D25"/>
    <mergeCell ref="D33:D34"/>
    <mergeCell ref="D35:D36"/>
    <mergeCell ref="D37:D38"/>
    <mergeCell ref="D29:D32"/>
    <mergeCell ref="D15:D17"/>
    <mergeCell ref="AO18:AO20"/>
    <mergeCell ref="AU8:AU9"/>
    <mergeCell ref="AV8:AV9"/>
    <mergeCell ref="AW8:AW9"/>
    <mergeCell ref="AZ8:AZ9"/>
    <mergeCell ref="A39:A44"/>
    <mergeCell ref="A26:A32"/>
    <mergeCell ref="C29:C32"/>
    <mergeCell ref="C23:C25"/>
    <mergeCell ref="C15:C17"/>
    <mergeCell ref="AZ18:AZ20"/>
    <mergeCell ref="AY18:AY20"/>
    <mergeCell ref="AX21:AX22"/>
    <mergeCell ref="AY21:AY22"/>
    <mergeCell ref="BA21:BA22"/>
    <mergeCell ref="AR15:AR17"/>
    <mergeCell ref="AS15:AS17"/>
    <mergeCell ref="AU18:AU20"/>
    <mergeCell ref="AX15:AX17"/>
    <mergeCell ref="AY15:AY17"/>
    <mergeCell ref="AV18:AV20"/>
    <mergeCell ref="AX8:AX9"/>
    <mergeCell ref="AW13:AW14"/>
    <mergeCell ref="AZ13:AZ14"/>
    <mergeCell ref="BA13:BA14"/>
    <mergeCell ref="AU15:AU17"/>
    <mergeCell ref="AV15:AV17"/>
    <mergeCell ref="AW15:AW17"/>
    <mergeCell ref="AZ15:AZ17"/>
    <mergeCell ref="BA15:BA17"/>
    <mergeCell ref="AU26:AU28"/>
    <mergeCell ref="AV26:AV28"/>
    <mergeCell ref="AW26:AW28"/>
    <mergeCell ref="AZ26:AZ28"/>
    <mergeCell ref="BA26:BA28"/>
    <mergeCell ref="BA18:BA20"/>
    <mergeCell ref="AU21:AU22"/>
    <mergeCell ref="AV21:AV22"/>
    <mergeCell ref="AW21:AW22"/>
    <mergeCell ref="AZ21:AZ22"/>
    <mergeCell ref="AV29:AV32"/>
    <mergeCell ref="AX33:AX34"/>
    <mergeCell ref="AY33:AY34"/>
    <mergeCell ref="AW29:AW32"/>
    <mergeCell ref="BA23:BA25"/>
    <mergeCell ref="AZ29:AZ32"/>
    <mergeCell ref="BA29:BA32"/>
    <mergeCell ref="AY29:AY32"/>
    <mergeCell ref="AX26:AX28"/>
    <mergeCell ref="AY26:AY28"/>
    <mergeCell ref="AU33:AU34"/>
    <mergeCell ref="AV33:AV34"/>
    <mergeCell ref="AW33:AW34"/>
    <mergeCell ref="AZ33:AZ34"/>
    <mergeCell ref="BA33:BA34"/>
    <mergeCell ref="AU23:AU25"/>
    <mergeCell ref="AV23:AV25"/>
    <mergeCell ref="AW23:AW25"/>
    <mergeCell ref="AX29:AX32"/>
    <mergeCell ref="AU29:AU32"/>
    <mergeCell ref="BA39:BA40"/>
    <mergeCell ref="AX39:AX40"/>
    <mergeCell ref="AY39:AY40"/>
    <mergeCell ref="AX35:AX36"/>
    <mergeCell ref="AY35:AY36"/>
    <mergeCell ref="AZ23:AZ25"/>
    <mergeCell ref="AY23:AY25"/>
    <mergeCell ref="AX23:AX25"/>
    <mergeCell ref="AW39:AW40"/>
    <mergeCell ref="AZ39:AZ40"/>
    <mergeCell ref="AU42:AU43"/>
    <mergeCell ref="AV42:AV43"/>
    <mergeCell ref="AW42:AW43"/>
    <mergeCell ref="AZ42:AZ43"/>
    <mergeCell ref="BA42:BA43"/>
    <mergeCell ref="AU35:AU36"/>
    <mergeCell ref="AV35:AV36"/>
    <mergeCell ref="AW35:AW36"/>
    <mergeCell ref="AZ35:AZ36"/>
    <mergeCell ref="BA35:BA36"/>
    <mergeCell ref="AX42:AX43"/>
    <mergeCell ref="AY42:AY43"/>
    <mergeCell ref="AU39:AU40"/>
    <mergeCell ref="AV39:AV40"/>
  </mergeCells>
  <printOp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AW95"/>
  <sheetViews>
    <sheetView zoomScalePageLayoutView="0" workbookViewId="0" topLeftCell="A1">
      <selection activeCell="O7" sqref="O7"/>
    </sheetView>
  </sheetViews>
  <sheetFormatPr defaultColWidth="9.140625" defaultRowHeight="15"/>
  <cols>
    <col min="1" max="1" width="6.28125" style="23" customWidth="1"/>
    <col min="2" max="2" width="2.8515625" style="24" customWidth="1"/>
    <col min="3" max="3" width="4.7109375" style="23" customWidth="1"/>
    <col min="4" max="4" width="23.140625" style="542" customWidth="1"/>
    <col min="5" max="5" width="6.7109375" style="543" customWidth="1"/>
    <col min="6" max="6" width="30.140625" style="544" customWidth="1"/>
    <col min="7" max="7" width="14.8515625" style="147" customWidth="1"/>
    <col min="8" max="8" width="19.421875" style="147" hidden="1" customWidth="1"/>
    <col min="9" max="9" width="5.8515625" style="545" customWidth="1"/>
    <col min="10" max="10" width="7.7109375" style="546" customWidth="1"/>
    <col min="11" max="11" width="7.28125" style="546" customWidth="1"/>
    <col min="12" max="12" width="9.7109375" style="545" customWidth="1"/>
    <col min="13" max="13" width="11.7109375" style="547" customWidth="1"/>
    <col min="14" max="14" width="9.57421875" style="547" customWidth="1"/>
    <col min="15" max="15" width="10.8515625" style="547" customWidth="1"/>
    <col min="16" max="16" width="11.8515625" style="547" customWidth="1"/>
    <col min="17" max="17" width="14.140625" style="547" customWidth="1"/>
    <col min="18" max="18" width="12.140625" style="547" customWidth="1"/>
    <col min="19" max="19" width="11.57421875" style="547" customWidth="1"/>
    <col min="20" max="20" width="12.8515625" style="547" customWidth="1"/>
    <col min="21" max="21" width="10.7109375" style="548" customWidth="1"/>
    <col min="22" max="22" width="8.00390625" style="548" customWidth="1"/>
    <col min="23" max="23" width="8.57421875" style="548" customWidth="1"/>
    <col min="24" max="24" width="11.7109375" style="548" customWidth="1"/>
    <col min="25" max="25" width="14.00390625" style="549" customWidth="1"/>
    <col min="26" max="26" width="11.00390625" style="549" customWidth="1"/>
    <col min="27" max="27" width="12.8515625" style="549" customWidth="1"/>
    <col min="28" max="28" width="10.57421875" style="549" customWidth="1"/>
    <col min="29" max="29" width="10.28125" style="549" customWidth="1"/>
    <col min="30" max="30" width="15.57421875" style="549" customWidth="1"/>
    <col min="31" max="31" width="15.28125" style="549" customWidth="1"/>
    <col min="32" max="32" width="15.140625" style="549" customWidth="1"/>
    <col min="33" max="33" width="7.28125" style="549" customWidth="1"/>
    <col min="34" max="34" width="13.140625" style="549" customWidth="1"/>
    <col min="35" max="35" width="9.28125" style="549" customWidth="1"/>
    <col min="36" max="36" width="6.8515625" style="549" customWidth="1"/>
    <col min="37" max="37" width="11.00390625" style="549" customWidth="1"/>
    <col min="38" max="38" width="10.7109375" style="549" customWidth="1"/>
    <col min="39" max="39" width="13.57421875" style="550" customWidth="1"/>
    <col min="40" max="40" width="16.421875" style="549" customWidth="1"/>
    <col min="41" max="41" width="12.421875" style="549" customWidth="1"/>
    <col min="42" max="43" width="10.140625" style="549" customWidth="1"/>
    <col min="44" max="45" width="10.28125" style="549" customWidth="1"/>
    <col min="46" max="46" width="12.28125" style="551" customWidth="1"/>
    <col min="47" max="16384" width="9.140625" style="23" customWidth="1"/>
  </cols>
  <sheetData>
    <row r="1" spans="2:46" s="55" customFormat="1" ht="11.25">
      <c r="B1" s="57"/>
      <c r="D1" s="201"/>
      <c r="E1" s="516"/>
      <c r="F1" s="517"/>
      <c r="G1" s="129"/>
      <c r="H1" s="129"/>
      <c r="I1" s="518"/>
      <c r="J1" s="519"/>
      <c r="K1" s="519"/>
      <c r="L1" s="518"/>
      <c r="M1" s="520"/>
      <c r="N1" s="520"/>
      <c r="O1" s="520"/>
      <c r="P1" s="520"/>
      <c r="Q1" s="520"/>
      <c r="R1" s="520"/>
      <c r="S1" s="520"/>
      <c r="T1" s="520"/>
      <c r="U1" s="521"/>
      <c r="V1" s="521"/>
      <c r="W1" s="521"/>
      <c r="X1" s="521"/>
      <c r="Y1" s="522"/>
      <c r="Z1" s="522"/>
      <c r="AA1" s="522"/>
      <c r="AB1" s="522"/>
      <c r="AC1" s="522"/>
      <c r="AD1" s="522"/>
      <c r="AE1" s="522"/>
      <c r="AF1" s="522"/>
      <c r="AG1" s="522"/>
      <c r="AH1" s="522"/>
      <c r="AI1" s="522"/>
      <c r="AJ1" s="522"/>
      <c r="AK1" s="522"/>
      <c r="AL1" s="522"/>
      <c r="AM1" s="523"/>
      <c r="AN1" s="522"/>
      <c r="AO1" s="522"/>
      <c r="AP1" s="522"/>
      <c r="AQ1" s="522"/>
      <c r="AR1" s="522"/>
      <c r="AS1" s="522"/>
      <c r="AT1" s="524"/>
    </row>
    <row r="2" spans="1:46" s="55" customFormat="1" ht="11.25">
      <c r="A2" s="56"/>
      <c r="B2" s="1096" t="s">
        <v>391</v>
      </c>
      <c r="C2" s="1096"/>
      <c r="D2" s="1096"/>
      <c r="E2" s="1096"/>
      <c r="F2" s="1096"/>
      <c r="G2" s="1096"/>
      <c r="H2" s="1096"/>
      <c r="I2" s="1096"/>
      <c r="J2" s="1096"/>
      <c r="K2" s="1096"/>
      <c r="L2" s="1096"/>
      <c r="M2" s="1096"/>
      <c r="N2" s="1096"/>
      <c r="O2" s="1096"/>
      <c r="P2" s="1096"/>
      <c r="Q2" s="1096"/>
      <c r="R2" s="1096"/>
      <c r="S2" s="56"/>
      <c r="T2" s="56"/>
      <c r="U2" s="56"/>
      <c r="V2" s="56"/>
      <c r="W2" s="56"/>
      <c r="X2" s="56"/>
      <c r="Y2" s="56"/>
      <c r="Z2" s="56"/>
      <c r="AA2" s="56"/>
      <c r="AB2" s="56"/>
      <c r="AC2" s="56"/>
      <c r="AD2" s="56"/>
      <c r="AE2" s="56"/>
      <c r="AF2" s="56"/>
      <c r="AG2" s="56"/>
      <c r="AH2" s="56"/>
      <c r="AI2" s="56"/>
      <c r="AJ2" s="56"/>
      <c r="AK2" s="56"/>
      <c r="AL2" s="56"/>
      <c r="AM2" s="56"/>
      <c r="AN2" s="522"/>
      <c r="AO2" s="522"/>
      <c r="AP2" s="522"/>
      <c r="AQ2" s="522"/>
      <c r="AR2" s="522"/>
      <c r="AS2" s="522"/>
      <c r="AT2" s="524"/>
    </row>
    <row r="3" spans="1:46" s="525" customFormat="1" ht="27.75" customHeight="1">
      <c r="A3" s="1092"/>
      <c r="B3" s="1092"/>
      <c r="C3" s="1092"/>
      <c r="D3" s="1092"/>
      <c r="E3" s="1092"/>
      <c r="F3" s="1092"/>
      <c r="G3" s="644"/>
      <c r="H3" s="644"/>
      <c r="I3" s="1097" t="s">
        <v>228</v>
      </c>
      <c r="J3" s="1098"/>
      <c r="K3" s="1098"/>
      <c r="L3" s="1099"/>
      <c r="M3" s="1100" t="s">
        <v>394</v>
      </c>
      <c r="N3" s="1100"/>
      <c r="O3" s="1100"/>
      <c r="P3" s="1100"/>
      <c r="Q3" s="1100"/>
      <c r="R3" s="1100"/>
      <c r="S3" s="1100"/>
      <c r="T3" s="1100"/>
      <c r="U3" s="1100"/>
      <c r="V3" s="1100"/>
      <c r="W3" s="1100"/>
      <c r="X3" s="1100"/>
      <c r="Y3" s="1100"/>
      <c r="Z3" s="1100"/>
      <c r="AA3" s="1100"/>
      <c r="AB3" s="1100"/>
      <c r="AC3" s="1100"/>
      <c r="AD3" s="1100"/>
      <c r="AE3" s="1089" t="s">
        <v>322</v>
      </c>
      <c r="AF3" s="1089"/>
      <c r="AG3" s="1089"/>
      <c r="AH3" s="1089"/>
      <c r="AI3" s="1089"/>
      <c r="AJ3" s="1089"/>
      <c r="AK3" s="1089"/>
      <c r="AL3" s="1089"/>
      <c r="AM3" s="1089" t="s">
        <v>397</v>
      </c>
      <c r="AN3" s="1089" t="s">
        <v>258</v>
      </c>
      <c r="AO3" s="1089" t="s">
        <v>325</v>
      </c>
      <c r="AP3" s="1089"/>
      <c r="AQ3" s="1089"/>
      <c r="AR3" s="1089"/>
      <c r="AS3" s="1089"/>
      <c r="AT3" s="1089"/>
    </row>
    <row r="4" spans="1:46" s="526" customFormat="1" ht="11.25" customHeight="1">
      <c r="A4" s="1092" t="s">
        <v>12</v>
      </c>
      <c r="B4" s="1092"/>
      <c r="C4" s="1092" t="s">
        <v>229</v>
      </c>
      <c r="D4" s="1092"/>
      <c r="E4" s="1092" t="s">
        <v>230</v>
      </c>
      <c r="F4" s="1092"/>
      <c r="G4" s="644"/>
      <c r="H4" s="644"/>
      <c r="I4" s="1075" t="s">
        <v>232</v>
      </c>
      <c r="J4" s="1090"/>
      <c r="K4" s="1090"/>
      <c r="L4" s="1076"/>
      <c r="M4" s="1092" t="s">
        <v>237</v>
      </c>
      <c r="N4" s="1092"/>
      <c r="O4" s="1092"/>
      <c r="P4" s="1092"/>
      <c r="Q4" s="1092"/>
      <c r="R4" s="1092"/>
      <c r="S4" s="1092"/>
      <c r="T4" s="1092"/>
      <c r="U4" s="1092"/>
      <c r="V4" s="1093" t="s">
        <v>312</v>
      </c>
      <c r="W4" s="1094"/>
      <c r="X4" s="1094"/>
      <c r="Y4" s="1094"/>
      <c r="Z4" s="1094"/>
      <c r="AA4" s="1095"/>
      <c r="AB4" s="1089" t="s">
        <v>395</v>
      </c>
      <c r="AC4" s="1089"/>
      <c r="AD4" s="1089"/>
      <c r="AE4" s="1089"/>
      <c r="AF4" s="1089"/>
      <c r="AG4" s="1089"/>
      <c r="AH4" s="1089"/>
      <c r="AI4" s="1089"/>
      <c r="AJ4" s="1089"/>
      <c r="AK4" s="1089"/>
      <c r="AL4" s="1089"/>
      <c r="AM4" s="1089"/>
      <c r="AN4" s="1089"/>
      <c r="AO4" s="1089"/>
      <c r="AP4" s="1089"/>
      <c r="AQ4" s="1089"/>
      <c r="AR4" s="1089"/>
      <c r="AS4" s="1089"/>
      <c r="AT4" s="1089"/>
    </row>
    <row r="5" spans="1:46" s="526" customFormat="1" ht="9.75" customHeight="1">
      <c r="A5" s="1092"/>
      <c r="B5" s="1092"/>
      <c r="C5" s="1092"/>
      <c r="D5" s="1092"/>
      <c r="E5" s="1092"/>
      <c r="F5" s="1092"/>
      <c r="G5" s="1092" t="s">
        <v>231</v>
      </c>
      <c r="H5" s="644"/>
      <c r="I5" s="1079"/>
      <c r="J5" s="1091"/>
      <c r="K5" s="1091"/>
      <c r="L5" s="1080"/>
      <c r="M5" s="1092"/>
      <c r="N5" s="1092"/>
      <c r="O5" s="1092"/>
      <c r="P5" s="1092"/>
      <c r="Q5" s="1092"/>
      <c r="R5" s="1092"/>
      <c r="S5" s="1092"/>
      <c r="T5" s="1092"/>
      <c r="U5" s="1092"/>
      <c r="V5" s="1093" t="s">
        <v>244</v>
      </c>
      <c r="W5" s="1094"/>
      <c r="X5" s="1095"/>
      <c r="Y5" s="1093" t="s">
        <v>245</v>
      </c>
      <c r="Z5" s="1094"/>
      <c r="AA5" s="1095"/>
      <c r="AB5" s="1089"/>
      <c r="AC5" s="1089"/>
      <c r="AD5" s="1089"/>
      <c r="AE5" s="1089" t="s">
        <v>396</v>
      </c>
      <c r="AF5" s="1089" t="s">
        <v>250</v>
      </c>
      <c r="AG5" s="1093" t="s">
        <v>253</v>
      </c>
      <c r="AH5" s="1094"/>
      <c r="AI5" s="1095"/>
      <c r="AJ5" s="1093" t="s">
        <v>256</v>
      </c>
      <c r="AK5" s="1094"/>
      <c r="AL5" s="1095"/>
      <c r="AM5" s="1089"/>
      <c r="AN5" s="1089"/>
      <c r="AO5" s="1089"/>
      <c r="AP5" s="1089"/>
      <c r="AQ5" s="1089"/>
      <c r="AR5" s="1089"/>
      <c r="AS5" s="1089"/>
      <c r="AT5" s="1089"/>
    </row>
    <row r="6" spans="1:46" s="526" customFormat="1" ht="18" customHeight="1">
      <c r="A6" s="1092"/>
      <c r="B6" s="1092"/>
      <c r="C6" s="1092"/>
      <c r="D6" s="1092"/>
      <c r="E6" s="1092"/>
      <c r="F6" s="1092"/>
      <c r="G6" s="1092"/>
      <c r="H6" s="644"/>
      <c r="I6" s="756"/>
      <c r="J6" s="756"/>
      <c r="K6" s="756"/>
      <c r="L6" s="756"/>
      <c r="M6" s="644"/>
      <c r="N6" s="644"/>
      <c r="O6" s="644"/>
      <c r="P6" s="644"/>
      <c r="Q6" s="644"/>
      <c r="R6" s="644"/>
      <c r="S6" s="644"/>
      <c r="T6" s="644"/>
      <c r="U6" s="644"/>
      <c r="V6" s="645"/>
      <c r="W6" s="645"/>
      <c r="X6" s="645"/>
      <c r="Y6" s="645"/>
      <c r="Z6" s="645"/>
      <c r="AA6" s="645"/>
      <c r="AB6" s="1089"/>
      <c r="AC6" s="1089"/>
      <c r="AD6" s="1089"/>
      <c r="AE6" s="1089"/>
      <c r="AF6" s="1089"/>
      <c r="AG6" s="645"/>
      <c r="AH6" s="645"/>
      <c r="AI6" s="645"/>
      <c r="AJ6" s="645"/>
      <c r="AK6" s="645"/>
      <c r="AL6" s="645"/>
      <c r="AM6" s="1089"/>
      <c r="AN6" s="1089"/>
      <c r="AO6" s="645"/>
      <c r="AP6" s="1089" t="s">
        <v>398</v>
      </c>
      <c r="AQ6" s="1089"/>
      <c r="AR6" s="1089"/>
      <c r="AS6" s="1089"/>
      <c r="AT6" s="645"/>
    </row>
    <row r="7" spans="1:46" s="69" customFormat="1" ht="45">
      <c r="A7" s="1092"/>
      <c r="B7" s="1092"/>
      <c r="C7" s="1092"/>
      <c r="D7" s="1092"/>
      <c r="E7" s="1092"/>
      <c r="F7" s="1092"/>
      <c r="G7" s="1101"/>
      <c r="H7" s="646" t="s">
        <v>67</v>
      </c>
      <c r="I7" s="645" t="s">
        <v>320</v>
      </c>
      <c r="J7" s="644" t="s">
        <v>234</v>
      </c>
      <c r="K7" s="644" t="s">
        <v>235</v>
      </c>
      <c r="L7" s="644" t="s">
        <v>236</v>
      </c>
      <c r="M7" s="644" t="s">
        <v>238</v>
      </c>
      <c r="N7" s="644" t="s">
        <v>239</v>
      </c>
      <c r="O7" s="644" t="s">
        <v>240</v>
      </c>
      <c r="P7" s="644" t="s">
        <v>241</v>
      </c>
      <c r="Q7" s="644" t="s">
        <v>392</v>
      </c>
      <c r="R7" s="644" t="s">
        <v>393</v>
      </c>
      <c r="S7" s="644" t="s">
        <v>242</v>
      </c>
      <c r="T7" s="644" t="s">
        <v>321</v>
      </c>
      <c r="U7" s="647" t="s">
        <v>1</v>
      </c>
      <c r="V7" s="644" t="s">
        <v>246</v>
      </c>
      <c r="W7" s="645" t="s">
        <v>0</v>
      </c>
      <c r="X7" s="645" t="s">
        <v>2</v>
      </c>
      <c r="Y7" s="644" t="s">
        <v>246</v>
      </c>
      <c r="Z7" s="645" t="s">
        <v>0</v>
      </c>
      <c r="AA7" s="645" t="s">
        <v>1</v>
      </c>
      <c r="AB7" s="757" t="s">
        <v>248</v>
      </c>
      <c r="AC7" s="757" t="s">
        <v>249</v>
      </c>
      <c r="AD7" s="645" t="s">
        <v>1</v>
      </c>
      <c r="AE7" s="1089"/>
      <c r="AF7" s="1089"/>
      <c r="AG7" s="645" t="s">
        <v>254</v>
      </c>
      <c r="AH7" s="757" t="s">
        <v>255</v>
      </c>
      <c r="AI7" s="645" t="s">
        <v>243</v>
      </c>
      <c r="AJ7" s="645" t="s">
        <v>257</v>
      </c>
      <c r="AK7" s="645" t="s">
        <v>255</v>
      </c>
      <c r="AL7" s="645" t="s">
        <v>243</v>
      </c>
      <c r="AM7" s="1089"/>
      <c r="AN7" s="1089"/>
      <c r="AO7" s="757" t="s">
        <v>261</v>
      </c>
      <c r="AP7" s="645" t="s">
        <v>152</v>
      </c>
      <c r="AQ7" s="645" t="s">
        <v>204</v>
      </c>
      <c r="AR7" s="645" t="s">
        <v>205</v>
      </c>
      <c r="AS7" s="645" t="s">
        <v>206</v>
      </c>
      <c r="AT7" s="757" t="s">
        <v>262</v>
      </c>
    </row>
    <row r="8" spans="1:46" s="69" customFormat="1" ht="11.25">
      <c r="A8" s="614" t="s">
        <v>5</v>
      </c>
      <c r="B8" s="614" t="s">
        <v>6</v>
      </c>
      <c r="C8" s="614" t="s">
        <v>7</v>
      </c>
      <c r="D8" s="615" t="s">
        <v>8</v>
      </c>
      <c r="E8" s="614" t="s">
        <v>9</v>
      </c>
      <c r="F8" s="614" t="s">
        <v>10</v>
      </c>
      <c r="G8" s="614"/>
      <c r="H8" s="614"/>
      <c r="I8" s="616">
        <v>1</v>
      </c>
      <c r="J8" s="616">
        <v>2</v>
      </c>
      <c r="K8" s="616">
        <v>3</v>
      </c>
      <c r="L8" s="616">
        <v>4</v>
      </c>
      <c r="M8" s="616">
        <v>5</v>
      </c>
      <c r="N8" s="616">
        <v>6</v>
      </c>
      <c r="O8" s="616">
        <v>7</v>
      </c>
      <c r="P8" s="616">
        <v>8</v>
      </c>
      <c r="Q8" s="616">
        <v>9</v>
      </c>
      <c r="R8" s="616">
        <v>10</v>
      </c>
      <c r="S8" s="616">
        <v>11</v>
      </c>
      <c r="T8" s="616">
        <v>12</v>
      </c>
      <c r="U8" s="616">
        <v>13</v>
      </c>
      <c r="V8" s="616">
        <v>14</v>
      </c>
      <c r="W8" s="616">
        <v>15</v>
      </c>
      <c r="X8" s="616">
        <v>16</v>
      </c>
      <c r="Y8" s="616">
        <v>17</v>
      </c>
      <c r="Z8" s="616">
        <v>18</v>
      </c>
      <c r="AA8" s="616">
        <v>19</v>
      </c>
      <c r="AB8" s="616">
        <v>20</v>
      </c>
      <c r="AC8" s="616">
        <v>21</v>
      </c>
      <c r="AD8" s="616">
        <v>22</v>
      </c>
      <c r="AE8" s="616">
        <v>23</v>
      </c>
      <c r="AF8" s="616">
        <v>24</v>
      </c>
      <c r="AG8" s="616">
        <v>25</v>
      </c>
      <c r="AH8" s="616">
        <v>26</v>
      </c>
      <c r="AI8" s="616">
        <v>27</v>
      </c>
      <c r="AJ8" s="616">
        <v>28</v>
      </c>
      <c r="AK8" s="616">
        <v>29</v>
      </c>
      <c r="AL8" s="616">
        <v>30</v>
      </c>
      <c r="AM8" s="616">
        <v>31</v>
      </c>
      <c r="AN8" s="616">
        <v>32</v>
      </c>
      <c r="AO8" s="616">
        <v>33</v>
      </c>
      <c r="AP8" s="616">
        <v>34</v>
      </c>
      <c r="AQ8" s="616">
        <v>35</v>
      </c>
      <c r="AR8" s="616">
        <v>36</v>
      </c>
      <c r="AS8" s="616">
        <v>37</v>
      </c>
      <c r="AT8" s="616">
        <v>38</v>
      </c>
    </row>
    <row r="9" spans="1:46" s="69" customFormat="1" ht="31.5" customHeight="1" thickBot="1">
      <c r="A9" s="1084" t="s">
        <v>399</v>
      </c>
      <c r="B9" s="1085"/>
      <c r="C9" s="1085"/>
      <c r="D9" s="1085"/>
      <c r="E9" s="1085"/>
      <c r="F9" s="1085"/>
      <c r="G9" s="1085"/>
      <c r="H9" s="1085"/>
      <c r="I9" s="1085"/>
      <c r="J9" s="1085"/>
      <c r="K9" s="1085"/>
      <c r="L9" s="1085"/>
      <c r="M9" s="1085"/>
      <c r="N9" s="1085"/>
      <c r="O9" s="1085"/>
      <c r="P9" s="1085"/>
      <c r="Q9" s="1085"/>
      <c r="R9" s="1085"/>
      <c r="S9" s="1085"/>
      <c r="T9" s="1085"/>
      <c r="U9" s="1085"/>
      <c r="V9" s="1085"/>
      <c r="W9" s="1085"/>
      <c r="X9" s="1085"/>
      <c r="Y9" s="1085"/>
      <c r="Z9" s="1085"/>
      <c r="AA9" s="1085"/>
      <c r="AB9" s="1085"/>
      <c r="AC9" s="1085"/>
      <c r="AD9" s="1085"/>
      <c r="AE9" s="1085"/>
      <c r="AF9" s="1085"/>
      <c r="AG9" s="1085"/>
      <c r="AH9" s="1085"/>
      <c r="AI9" s="1085"/>
      <c r="AJ9" s="1085"/>
      <c r="AK9" s="1085"/>
      <c r="AL9" s="1085"/>
      <c r="AM9" s="1085"/>
      <c r="AN9" s="1085"/>
      <c r="AO9" s="1085"/>
      <c r="AP9" s="1085"/>
      <c r="AQ9" s="1085"/>
      <c r="AR9" s="1085"/>
      <c r="AS9" s="1085"/>
      <c r="AT9" s="1086"/>
    </row>
    <row r="10" spans="1:46" s="526" customFormat="1" ht="28.5" customHeight="1" thickBot="1">
      <c r="A10" s="413">
        <v>1</v>
      </c>
      <c r="B10" s="617"/>
      <c r="C10" s="996">
        <v>1.1</v>
      </c>
      <c r="D10" s="1000" t="s">
        <v>400</v>
      </c>
      <c r="E10" s="413" t="s">
        <v>17</v>
      </c>
      <c r="F10" s="534" t="s">
        <v>401</v>
      </c>
      <c r="G10" s="791" t="s">
        <v>411</v>
      </c>
      <c r="H10" s="136"/>
      <c r="I10" s="528"/>
      <c r="J10" s="529"/>
      <c r="K10" s="529"/>
      <c r="L10" s="618">
        <f>I10*J10*K10</f>
        <v>0</v>
      </c>
      <c r="M10" s="537"/>
      <c r="N10" s="537"/>
      <c r="O10" s="537"/>
      <c r="P10" s="537"/>
      <c r="Q10" s="537"/>
      <c r="R10" s="537"/>
      <c r="S10" s="537"/>
      <c r="T10" s="537"/>
      <c r="U10" s="527">
        <f aca="true" t="shared" si="0" ref="U10:U86">(M10*N10*P10)+(M10*N10*O10*Q10)+(M10*N10*O10*R10)+(M10*O10*S10)+(M10*N10*T10)</f>
        <v>0</v>
      </c>
      <c r="V10" s="530">
        <v>70</v>
      </c>
      <c r="W10" s="530">
        <v>350</v>
      </c>
      <c r="X10" s="527">
        <f aca="true" t="shared" si="1" ref="X10:X71">V10*W10</f>
        <v>24500</v>
      </c>
      <c r="Y10" s="530">
        <v>100</v>
      </c>
      <c r="Z10" s="530">
        <v>1250</v>
      </c>
      <c r="AA10" s="527">
        <f aca="true" t="shared" si="2" ref="AA10:AA71">Y10*Z10</f>
        <v>125000</v>
      </c>
      <c r="AB10" s="531"/>
      <c r="AC10" s="531"/>
      <c r="AD10" s="527">
        <f>AB10*AC10</f>
        <v>0</v>
      </c>
      <c r="AE10" s="527"/>
      <c r="AF10" s="527"/>
      <c r="AG10" s="626"/>
      <c r="AH10" s="626"/>
      <c r="AI10" s="527">
        <f aca="true" t="shared" si="3" ref="AI10:AI70">AG10*AH10</f>
        <v>0</v>
      </c>
      <c r="AJ10" s="626"/>
      <c r="AK10" s="626"/>
      <c r="AL10" s="527">
        <f>AJ10*AK10</f>
        <v>0</v>
      </c>
      <c r="AM10" s="527"/>
      <c r="AN10" s="527">
        <f>L10+U10+X10+AA10+AD10+AI10+AL10+AM10+AE10+AF10</f>
        <v>149500</v>
      </c>
      <c r="AO10" s="76"/>
      <c r="AP10" s="76"/>
      <c r="AQ10" s="76"/>
      <c r="AR10" s="76">
        <v>25000</v>
      </c>
      <c r="AS10" s="76"/>
      <c r="AT10" s="619">
        <f>AN10-AO10-AP10-AR10</f>
        <v>124500</v>
      </c>
    </row>
    <row r="11" spans="1:46" s="532" customFormat="1" ht="61.5" customHeight="1" thickBot="1">
      <c r="A11" s="413"/>
      <c r="B11" s="617"/>
      <c r="C11" s="996"/>
      <c r="D11" s="1000"/>
      <c r="E11" s="413" t="s">
        <v>30</v>
      </c>
      <c r="F11" s="534" t="s">
        <v>402</v>
      </c>
      <c r="G11" s="791" t="s">
        <v>411</v>
      </c>
      <c r="H11" s="136"/>
      <c r="I11" s="528"/>
      <c r="J11" s="529"/>
      <c r="K11" s="529"/>
      <c r="L11" s="618">
        <f aca="true" t="shared" si="4" ref="L11:L63">I11*J11*K11</f>
        <v>0</v>
      </c>
      <c r="M11" s="537"/>
      <c r="N11" s="537"/>
      <c r="O11" s="537"/>
      <c r="P11" s="537"/>
      <c r="Q11" s="537"/>
      <c r="R11" s="537"/>
      <c r="S11" s="537"/>
      <c r="T11" s="537"/>
      <c r="U11" s="527">
        <f t="shared" si="0"/>
        <v>0</v>
      </c>
      <c r="V11" s="530"/>
      <c r="W11" s="530"/>
      <c r="X11" s="527">
        <f t="shared" si="1"/>
        <v>0</v>
      </c>
      <c r="Y11" s="530">
        <v>20</v>
      </c>
      <c r="Z11" s="530">
        <v>1250</v>
      </c>
      <c r="AA11" s="527">
        <f t="shared" si="2"/>
        <v>25000</v>
      </c>
      <c r="AB11" s="531"/>
      <c r="AC11" s="531"/>
      <c r="AD11" s="527">
        <f aca="true" t="shared" si="5" ref="AD11:AD71">AB11*AC11</f>
        <v>0</v>
      </c>
      <c r="AE11" s="527"/>
      <c r="AF11" s="527"/>
      <c r="AG11" s="626"/>
      <c r="AH11" s="626"/>
      <c r="AI11" s="527">
        <f t="shared" si="3"/>
        <v>0</v>
      </c>
      <c r="AJ11" s="626"/>
      <c r="AK11" s="626"/>
      <c r="AL11" s="527">
        <f>AJ11*AK11</f>
        <v>0</v>
      </c>
      <c r="AM11" s="527"/>
      <c r="AN11" s="527">
        <f aca="true" t="shared" si="6" ref="AN11:AN71">L11+U11+X11+AA11+AD11+AI11+AL11+AM11+AE11+AF11</f>
        <v>25000</v>
      </c>
      <c r="AO11" s="76"/>
      <c r="AP11" s="76"/>
      <c r="AQ11" s="76"/>
      <c r="AR11" s="76">
        <f>AN11</f>
        <v>25000</v>
      </c>
      <c r="AS11" s="76"/>
      <c r="AT11" s="619">
        <f>AN11-AO11-AP11-AR11</f>
        <v>0</v>
      </c>
    </row>
    <row r="12" spans="1:46" s="532" customFormat="1" ht="76.5" customHeight="1" thickBot="1">
      <c r="A12" s="413"/>
      <c r="B12" s="617"/>
      <c r="C12" s="996"/>
      <c r="D12" s="1000"/>
      <c r="E12" s="413" t="s">
        <v>31</v>
      </c>
      <c r="F12" s="533" t="s">
        <v>403</v>
      </c>
      <c r="G12" s="791" t="s">
        <v>412</v>
      </c>
      <c r="H12" s="136"/>
      <c r="I12" s="528"/>
      <c r="J12" s="529"/>
      <c r="K12" s="529"/>
      <c r="L12" s="618">
        <f t="shared" si="4"/>
        <v>0</v>
      </c>
      <c r="M12" s="537">
        <v>15</v>
      </c>
      <c r="N12" s="537">
        <v>1</v>
      </c>
      <c r="O12" s="537">
        <v>20</v>
      </c>
      <c r="P12" s="537"/>
      <c r="Q12" s="537">
        <v>25</v>
      </c>
      <c r="R12" s="537">
        <v>20</v>
      </c>
      <c r="S12" s="537"/>
      <c r="T12" s="537"/>
      <c r="U12" s="527">
        <f t="shared" si="0"/>
        <v>13500</v>
      </c>
      <c r="V12" s="530">
        <f>15*50</f>
        <v>750</v>
      </c>
      <c r="W12" s="530">
        <v>350</v>
      </c>
      <c r="X12" s="527">
        <f t="shared" si="1"/>
        <v>262500</v>
      </c>
      <c r="Y12" s="530">
        <f>15*40</f>
        <v>600</v>
      </c>
      <c r="Z12" s="530">
        <v>1250</v>
      </c>
      <c r="AA12" s="527">
        <f t="shared" si="2"/>
        <v>750000</v>
      </c>
      <c r="AB12" s="531"/>
      <c r="AC12" s="531"/>
      <c r="AD12" s="527">
        <f t="shared" si="5"/>
        <v>0</v>
      </c>
      <c r="AE12" s="527"/>
      <c r="AF12" s="527"/>
      <c r="AG12" s="626"/>
      <c r="AH12" s="626"/>
      <c r="AI12" s="527">
        <f t="shared" si="3"/>
        <v>0</v>
      </c>
      <c r="AJ12" s="626"/>
      <c r="AK12" s="626"/>
      <c r="AL12" s="527"/>
      <c r="AM12" s="527">
        <v>15000</v>
      </c>
      <c r="AN12" s="527">
        <f t="shared" si="6"/>
        <v>1041000</v>
      </c>
      <c r="AO12" s="76">
        <v>7000</v>
      </c>
      <c r="AP12" s="76"/>
      <c r="AQ12" s="76"/>
      <c r="AR12" s="76"/>
      <c r="AS12" s="76"/>
      <c r="AT12" s="619">
        <f aca="true" t="shared" si="7" ref="AT12:AT86">AN12-AO12-AP12-AR12</f>
        <v>1034000</v>
      </c>
    </row>
    <row r="13" spans="1:46" s="532" customFormat="1" ht="51.75" customHeight="1" thickBot="1">
      <c r="A13" s="413"/>
      <c r="B13" s="617"/>
      <c r="C13" s="996"/>
      <c r="D13" s="1000"/>
      <c r="E13" s="413" t="s">
        <v>32</v>
      </c>
      <c r="F13" s="533" t="s">
        <v>404</v>
      </c>
      <c r="G13" s="791" t="s">
        <v>412</v>
      </c>
      <c r="H13" s="136"/>
      <c r="I13" s="528"/>
      <c r="J13" s="529"/>
      <c r="K13" s="529"/>
      <c r="L13" s="618">
        <f t="shared" si="4"/>
        <v>0</v>
      </c>
      <c r="M13" s="537"/>
      <c r="N13" s="537"/>
      <c r="O13" s="537"/>
      <c r="P13" s="537"/>
      <c r="Q13" s="537"/>
      <c r="R13" s="537"/>
      <c r="S13" s="537"/>
      <c r="T13" s="537"/>
      <c r="U13" s="527">
        <f t="shared" si="0"/>
        <v>0</v>
      </c>
      <c r="V13" s="530"/>
      <c r="W13" s="530"/>
      <c r="X13" s="527">
        <f t="shared" si="1"/>
        <v>0</v>
      </c>
      <c r="Y13" s="530"/>
      <c r="Z13" s="530"/>
      <c r="AA13" s="527">
        <v>450000</v>
      </c>
      <c r="AB13" s="531"/>
      <c r="AC13" s="531"/>
      <c r="AD13" s="527">
        <f t="shared" si="5"/>
        <v>0</v>
      </c>
      <c r="AE13" s="527"/>
      <c r="AF13" s="527"/>
      <c r="AG13" s="626"/>
      <c r="AH13" s="626"/>
      <c r="AI13" s="527">
        <f t="shared" si="3"/>
        <v>0</v>
      </c>
      <c r="AJ13" s="626"/>
      <c r="AK13" s="626"/>
      <c r="AL13" s="527"/>
      <c r="AM13" s="527"/>
      <c r="AN13" s="527">
        <f t="shared" si="6"/>
        <v>450000</v>
      </c>
      <c r="AO13" s="76"/>
      <c r="AP13" s="76">
        <f>AN13</f>
        <v>450000</v>
      </c>
      <c r="AQ13" s="76"/>
      <c r="AR13" s="76"/>
      <c r="AS13" s="76"/>
      <c r="AT13" s="619">
        <f t="shared" si="7"/>
        <v>0</v>
      </c>
    </row>
    <row r="14" spans="1:46" s="532" customFormat="1" ht="30" customHeight="1" thickBot="1">
      <c r="A14" s="413"/>
      <c r="B14" s="617"/>
      <c r="C14" s="996"/>
      <c r="D14" s="1000"/>
      <c r="E14" s="413" t="s">
        <v>34</v>
      </c>
      <c r="F14" s="533" t="s">
        <v>405</v>
      </c>
      <c r="G14" s="791"/>
      <c r="H14" s="136"/>
      <c r="I14" s="528"/>
      <c r="J14" s="529"/>
      <c r="K14" s="529"/>
      <c r="L14" s="618">
        <f t="shared" si="4"/>
        <v>0</v>
      </c>
      <c r="M14" s="537">
        <v>15</v>
      </c>
      <c r="N14" s="537">
        <v>1</v>
      </c>
      <c r="O14" s="537">
        <v>20</v>
      </c>
      <c r="P14" s="537">
        <v>25</v>
      </c>
      <c r="Q14" s="537"/>
      <c r="R14" s="537">
        <v>20</v>
      </c>
      <c r="S14" s="537"/>
      <c r="T14" s="537"/>
      <c r="U14" s="527">
        <f t="shared" si="0"/>
        <v>6375</v>
      </c>
      <c r="V14" s="530">
        <f>15*100</f>
        <v>1500</v>
      </c>
      <c r="W14" s="530">
        <v>350</v>
      </c>
      <c r="X14" s="527">
        <f t="shared" si="1"/>
        <v>525000</v>
      </c>
      <c r="Y14" s="530">
        <f>15*60</f>
        <v>900</v>
      </c>
      <c r="Z14" s="530">
        <v>1250</v>
      </c>
      <c r="AA14" s="527">
        <f t="shared" si="2"/>
        <v>1125000</v>
      </c>
      <c r="AB14" s="531"/>
      <c r="AC14" s="531"/>
      <c r="AD14" s="527">
        <f t="shared" si="5"/>
        <v>0</v>
      </c>
      <c r="AE14" s="527"/>
      <c r="AF14" s="527"/>
      <c r="AG14" s="626"/>
      <c r="AH14" s="626"/>
      <c r="AI14" s="527">
        <f t="shared" si="3"/>
        <v>0</v>
      </c>
      <c r="AJ14" s="626"/>
      <c r="AK14" s="626"/>
      <c r="AL14" s="527"/>
      <c r="AM14" s="527"/>
      <c r="AN14" s="527">
        <f t="shared" si="6"/>
        <v>1656375</v>
      </c>
      <c r="AO14" s="76"/>
      <c r="AP14" s="76"/>
      <c r="AQ14" s="76"/>
      <c r="AR14" s="76"/>
      <c r="AS14" s="76"/>
      <c r="AT14" s="619">
        <f t="shared" si="7"/>
        <v>1656375</v>
      </c>
    </row>
    <row r="15" spans="1:46" s="532" customFormat="1" ht="75" customHeight="1" thickBot="1">
      <c r="A15" s="413"/>
      <c r="B15" s="617"/>
      <c r="C15" s="996"/>
      <c r="D15" s="1000"/>
      <c r="E15" s="413" t="s">
        <v>112</v>
      </c>
      <c r="F15" s="534" t="s">
        <v>406</v>
      </c>
      <c r="G15" s="791" t="s">
        <v>412</v>
      </c>
      <c r="H15" s="136"/>
      <c r="I15" s="528"/>
      <c r="J15" s="529"/>
      <c r="K15" s="529"/>
      <c r="L15" s="618">
        <f t="shared" si="4"/>
        <v>0</v>
      </c>
      <c r="M15" s="537"/>
      <c r="N15" s="537"/>
      <c r="O15" s="537"/>
      <c r="P15" s="537"/>
      <c r="Q15" s="537"/>
      <c r="R15" s="537"/>
      <c r="S15" s="537"/>
      <c r="T15" s="537"/>
      <c r="U15" s="527">
        <f t="shared" si="0"/>
        <v>0</v>
      </c>
      <c r="V15" s="530">
        <v>10</v>
      </c>
      <c r="W15" s="530">
        <v>350</v>
      </c>
      <c r="X15" s="527">
        <f t="shared" si="1"/>
        <v>3500</v>
      </c>
      <c r="Y15" s="530">
        <v>30</v>
      </c>
      <c r="Z15" s="530">
        <v>1250</v>
      </c>
      <c r="AA15" s="527">
        <f t="shared" si="2"/>
        <v>37500</v>
      </c>
      <c r="AB15" s="531"/>
      <c r="AC15" s="531"/>
      <c r="AD15" s="527">
        <f t="shared" si="5"/>
        <v>0</v>
      </c>
      <c r="AE15" s="527"/>
      <c r="AF15" s="527"/>
      <c r="AG15" s="626"/>
      <c r="AH15" s="626"/>
      <c r="AI15" s="527">
        <f t="shared" si="3"/>
        <v>0</v>
      </c>
      <c r="AJ15" s="626"/>
      <c r="AK15" s="626"/>
      <c r="AL15" s="527"/>
      <c r="AM15" s="527">
        <v>1000</v>
      </c>
      <c r="AN15" s="527">
        <f t="shared" si="6"/>
        <v>42000</v>
      </c>
      <c r="AO15" s="76">
        <v>1000</v>
      </c>
      <c r="AP15" s="76"/>
      <c r="AQ15" s="76"/>
      <c r="AR15" s="76"/>
      <c r="AS15" s="76"/>
      <c r="AT15" s="619">
        <f t="shared" si="7"/>
        <v>41000</v>
      </c>
    </row>
    <row r="16" spans="1:46" s="532" customFormat="1" ht="49.5" customHeight="1" thickBot="1">
      <c r="A16" s="413"/>
      <c r="B16" s="617"/>
      <c r="C16" s="996"/>
      <c r="D16" s="1000"/>
      <c r="E16" s="413" t="s">
        <v>113</v>
      </c>
      <c r="F16" s="534" t="s">
        <v>407</v>
      </c>
      <c r="G16" s="791" t="s">
        <v>412</v>
      </c>
      <c r="H16" s="136" t="s">
        <v>68</v>
      </c>
      <c r="I16" s="528"/>
      <c r="J16" s="529"/>
      <c r="K16" s="529"/>
      <c r="L16" s="618">
        <f t="shared" si="4"/>
        <v>0</v>
      </c>
      <c r="M16" s="537">
        <v>20</v>
      </c>
      <c r="N16" s="537">
        <v>9</v>
      </c>
      <c r="O16" s="537">
        <v>20</v>
      </c>
      <c r="P16" s="537"/>
      <c r="Q16" s="537">
        <v>25</v>
      </c>
      <c r="R16" s="537"/>
      <c r="S16" s="537">
        <v>20</v>
      </c>
      <c r="T16" s="537">
        <v>65</v>
      </c>
      <c r="U16" s="527">
        <f t="shared" si="0"/>
        <v>109700</v>
      </c>
      <c r="V16" s="530"/>
      <c r="W16" s="530"/>
      <c r="X16" s="527">
        <f t="shared" si="1"/>
        <v>0</v>
      </c>
      <c r="Y16" s="530"/>
      <c r="Z16" s="530"/>
      <c r="AA16" s="527">
        <f t="shared" si="2"/>
        <v>0</v>
      </c>
      <c r="AB16" s="531"/>
      <c r="AC16" s="531"/>
      <c r="AD16" s="527">
        <f t="shared" si="5"/>
        <v>0</v>
      </c>
      <c r="AE16" s="527"/>
      <c r="AF16" s="527"/>
      <c r="AG16" s="626"/>
      <c r="AH16" s="626"/>
      <c r="AI16" s="527">
        <f t="shared" si="3"/>
        <v>0</v>
      </c>
      <c r="AJ16" s="626"/>
      <c r="AK16" s="626"/>
      <c r="AL16" s="527"/>
      <c r="AM16" s="527"/>
      <c r="AN16" s="527">
        <f t="shared" si="6"/>
        <v>109700</v>
      </c>
      <c r="AO16" s="76"/>
      <c r="AP16" s="76"/>
      <c r="AQ16" s="76"/>
      <c r="AR16" s="76"/>
      <c r="AS16" s="76"/>
      <c r="AT16" s="619">
        <f t="shared" si="7"/>
        <v>109700</v>
      </c>
    </row>
    <row r="17" spans="1:46" s="532" customFormat="1" ht="46.5" customHeight="1">
      <c r="A17" s="413"/>
      <c r="B17" s="617"/>
      <c r="C17" s="996"/>
      <c r="D17" s="1000"/>
      <c r="E17" s="413" t="s">
        <v>114</v>
      </c>
      <c r="F17" s="534" t="s">
        <v>408</v>
      </c>
      <c r="G17" s="791" t="s">
        <v>413</v>
      </c>
      <c r="H17" s="136"/>
      <c r="I17" s="528"/>
      <c r="J17" s="529"/>
      <c r="K17" s="529"/>
      <c r="L17" s="618">
        <f t="shared" si="4"/>
        <v>0</v>
      </c>
      <c r="M17" s="537">
        <v>10</v>
      </c>
      <c r="N17" s="537">
        <v>1</v>
      </c>
      <c r="O17" s="537">
        <v>20</v>
      </c>
      <c r="P17" s="537">
        <v>350</v>
      </c>
      <c r="Q17" s="537">
        <v>25</v>
      </c>
      <c r="R17" s="537"/>
      <c r="S17" s="537">
        <v>20</v>
      </c>
      <c r="T17" s="537"/>
      <c r="U17" s="527">
        <f t="shared" si="0"/>
        <v>12500</v>
      </c>
      <c r="V17" s="530">
        <f>10*100</f>
        <v>1000</v>
      </c>
      <c r="W17" s="530">
        <v>350</v>
      </c>
      <c r="X17" s="527">
        <f t="shared" si="1"/>
        <v>350000</v>
      </c>
      <c r="Y17" s="530">
        <f>10*100</f>
        <v>1000</v>
      </c>
      <c r="Z17" s="530">
        <v>1250</v>
      </c>
      <c r="AA17" s="527">
        <f t="shared" si="2"/>
        <v>1250000</v>
      </c>
      <c r="AB17" s="531"/>
      <c r="AC17" s="531"/>
      <c r="AD17" s="527">
        <f t="shared" si="5"/>
        <v>0</v>
      </c>
      <c r="AE17" s="527"/>
      <c r="AF17" s="527"/>
      <c r="AG17" s="626"/>
      <c r="AH17" s="626"/>
      <c r="AI17" s="527">
        <f t="shared" si="3"/>
        <v>0</v>
      </c>
      <c r="AJ17" s="626"/>
      <c r="AK17" s="626"/>
      <c r="AL17" s="527"/>
      <c r="AM17" s="527">
        <f>10*5000</f>
        <v>50000</v>
      </c>
      <c r="AN17" s="527">
        <f t="shared" si="6"/>
        <v>1662500</v>
      </c>
      <c r="AO17" s="76"/>
      <c r="AP17" s="76"/>
      <c r="AQ17" s="76"/>
      <c r="AR17" s="76"/>
      <c r="AS17" s="76"/>
      <c r="AT17" s="619">
        <f t="shared" si="7"/>
        <v>1662500</v>
      </c>
    </row>
    <row r="18" spans="1:46" s="532" customFormat="1" ht="24" customHeight="1">
      <c r="A18" s="413"/>
      <c r="B18" s="617"/>
      <c r="C18" s="996"/>
      <c r="D18" s="1000"/>
      <c r="E18" s="413" t="s">
        <v>115</v>
      </c>
      <c r="F18" s="534" t="s">
        <v>409</v>
      </c>
      <c r="G18" s="792" t="s">
        <v>414</v>
      </c>
      <c r="H18" s="136"/>
      <c r="I18" s="528"/>
      <c r="J18" s="529"/>
      <c r="K18" s="529"/>
      <c r="L18" s="618">
        <f t="shared" si="4"/>
        <v>0</v>
      </c>
      <c r="M18" s="537"/>
      <c r="N18" s="537"/>
      <c r="O18" s="537"/>
      <c r="P18" s="537"/>
      <c r="Q18" s="537"/>
      <c r="R18" s="537"/>
      <c r="S18" s="537"/>
      <c r="T18" s="537"/>
      <c r="U18" s="527">
        <f t="shared" si="0"/>
        <v>0</v>
      </c>
      <c r="V18" s="530">
        <f>19*50</f>
        <v>950</v>
      </c>
      <c r="W18" s="530">
        <v>350</v>
      </c>
      <c r="X18" s="527">
        <f t="shared" si="1"/>
        <v>332500</v>
      </c>
      <c r="Y18" s="530"/>
      <c r="Z18" s="530"/>
      <c r="AA18" s="527">
        <f t="shared" si="2"/>
        <v>0</v>
      </c>
      <c r="AB18" s="531"/>
      <c r="AC18" s="531"/>
      <c r="AD18" s="527">
        <f t="shared" si="5"/>
        <v>0</v>
      </c>
      <c r="AE18" s="527"/>
      <c r="AF18" s="527"/>
      <c r="AG18" s="626"/>
      <c r="AH18" s="626"/>
      <c r="AI18" s="527">
        <f t="shared" si="3"/>
        <v>0</v>
      </c>
      <c r="AJ18" s="626"/>
      <c r="AK18" s="626"/>
      <c r="AL18" s="527"/>
      <c r="AM18" s="527"/>
      <c r="AN18" s="527">
        <f t="shared" si="6"/>
        <v>332500</v>
      </c>
      <c r="AO18" s="76"/>
      <c r="AP18" s="76"/>
      <c r="AQ18" s="76"/>
      <c r="AR18" s="76"/>
      <c r="AS18" s="76"/>
      <c r="AT18" s="619">
        <f t="shared" si="7"/>
        <v>332500</v>
      </c>
    </row>
    <row r="19" spans="1:46" s="532" customFormat="1" ht="24.75" customHeight="1" thickBot="1">
      <c r="A19" s="413"/>
      <c r="B19" s="617"/>
      <c r="C19" s="996"/>
      <c r="D19" s="1000"/>
      <c r="E19" s="413" t="s">
        <v>116</v>
      </c>
      <c r="F19" s="535" t="s">
        <v>410</v>
      </c>
      <c r="G19" s="78"/>
      <c r="H19" s="620"/>
      <c r="I19" s="528"/>
      <c r="J19" s="529"/>
      <c r="K19" s="529"/>
      <c r="L19" s="618">
        <f t="shared" si="4"/>
        <v>0</v>
      </c>
      <c r="M19" s="537"/>
      <c r="N19" s="537"/>
      <c r="O19" s="537"/>
      <c r="P19" s="537"/>
      <c r="Q19" s="537"/>
      <c r="R19" s="537"/>
      <c r="S19" s="537"/>
      <c r="T19" s="537"/>
      <c r="U19" s="527">
        <f t="shared" si="0"/>
        <v>0</v>
      </c>
      <c r="V19" s="530"/>
      <c r="W19" s="530"/>
      <c r="X19" s="527">
        <f t="shared" si="1"/>
        <v>0</v>
      </c>
      <c r="Y19" s="530"/>
      <c r="Z19" s="530"/>
      <c r="AA19" s="527">
        <f t="shared" si="2"/>
        <v>0</v>
      </c>
      <c r="AB19" s="531">
        <f>19*300</f>
        <v>5700</v>
      </c>
      <c r="AC19" s="531">
        <v>5</v>
      </c>
      <c r="AD19" s="527">
        <f t="shared" si="5"/>
        <v>28500</v>
      </c>
      <c r="AE19" s="527"/>
      <c r="AF19" s="527"/>
      <c r="AG19" s="626"/>
      <c r="AH19" s="626"/>
      <c r="AI19" s="527">
        <f t="shared" si="3"/>
        <v>0</v>
      </c>
      <c r="AJ19" s="626"/>
      <c r="AK19" s="626"/>
      <c r="AL19" s="527"/>
      <c r="AM19" s="527"/>
      <c r="AN19" s="527">
        <f t="shared" si="6"/>
        <v>28500</v>
      </c>
      <c r="AO19" s="76"/>
      <c r="AP19" s="76"/>
      <c r="AQ19" s="76"/>
      <c r="AR19" s="76"/>
      <c r="AS19" s="76"/>
      <c r="AT19" s="619">
        <f t="shared" si="7"/>
        <v>28500</v>
      </c>
    </row>
    <row r="20" spans="1:46" s="536" customFormat="1" ht="63" customHeight="1">
      <c r="A20" s="413"/>
      <c r="B20" s="617"/>
      <c r="C20" s="996">
        <v>1.2</v>
      </c>
      <c r="D20" s="1000" t="s">
        <v>415</v>
      </c>
      <c r="E20" s="413" t="s">
        <v>35</v>
      </c>
      <c r="F20" s="534" t="s">
        <v>416</v>
      </c>
      <c r="G20" s="791" t="s">
        <v>411</v>
      </c>
      <c r="H20" s="136" t="s">
        <v>73</v>
      </c>
      <c r="I20" s="528"/>
      <c r="J20" s="529"/>
      <c r="K20" s="529"/>
      <c r="L20" s="618">
        <f>I20*J20*K20</f>
        <v>0</v>
      </c>
      <c r="M20" s="537"/>
      <c r="N20" s="537"/>
      <c r="O20" s="537"/>
      <c r="P20" s="537"/>
      <c r="Q20" s="537"/>
      <c r="R20" s="537"/>
      <c r="S20" s="537"/>
      <c r="T20" s="537"/>
      <c r="U20" s="527">
        <f t="shared" si="0"/>
        <v>0</v>
      </c>
      <c r="V20" s="530">
        <f>30*20+50</f>
        <v>650</v>
      </c>
      <c r="W20" s="530">
        <v>350</v>
      </c>
      <c r="X20" s="527">
        <f>V20*W20</f>
        <v>227500</v>
      </c>
      <c r="Y20" s="530"/>
      <c r="Z20" s="530"/>
      <c r="AA20" s="527">
        <f>Y20*Z20</f>
        <v>0</v>
      </c>
      <c r="AB20" s="531"/>
      <c r="AC20" s="531"/>
      <c r="AD20" s="527">
        <f>AB20*AC20</f>
        <v>0</v>
      </c>
      <c r="AE20" s="527"/>
      <c r="AF20" s="527"/>
      <c r="AG20" s="626"/>
      <c r="AH20" s="626"/>
      <c r="AI20" s="527">
        <f>AG20*AH20</f>
        <v>0</v>
      </c>
      <c r="AJ20" s="626"/>
      <c r="AK20" s="626"/>
      <c r="AL20" s="527">
        <f>AJ20*AK20</f>
        <v>0</v>
      </c>
      <c r="AM20" s="527"/>
      <c r="AN20" s="527">
        <f>L20+U20+X20+AA20+AD20+AI20+AL20+AM20+AE20+AF20</f>
        <v>227500</v>
      </c>
      <c r="AO20" s="76"/>
      <c r="AP20" s="76"/>
      <c r="AQ20" s="76"/>
      <c r="AR20" s="76"/>
      <c r="AS20" s="76"/>
      <c r="AT20" s="619">
        <f>AN20-AO20-AP20-AR20</f>
        <v>227500</v>
      </c>
    </row>
    <row r="21" spans="1:46" s="536" customFormat="1" ht="27.75" customHeight="1">
      <c r="A21" s="413"/>
      <c r="B21" s="617"/>
      <c r="C21" s="996"/>
      <c r="D21" s="1000"/>
      <c r="E21" s="413" t="s">
        <v>36</v>
      </c>
      <c r="F21" s="534" t="s">
        <v>417</v>
      </c>
      <c r="G21" s="136"/>
      <c r="H21" s="136" t="s">
        <v>69</v>
      </c>
      <c r="I21" s="528"/>
      <c r="J21" s="529"/>
      <c r="K21" s="529"/>
      <c r="L21" s="618">
        <f>I21*J21*K21</f>
        <v>0</v>
      </c>
      <c r="M21" s="537"/>
      <c r="N21" s="537"/>
      <c r="O21" s="537"/>
      <c r="P21" s="537"/>
      <c r="Q21" s="537"/>
      <c r="R21" s="537"/>
      <c r="S21" s="537"/>
      <c r="T21" s="537"/>
      <c r="U21" s="527">
        <f>(M21*N21*P21)+(M21*N21*O21*Q21)+(M21*N21*O21*R21)+(M21*O21*S21)+(M21*N21*T21)</f>
        <v>0</v>
      </c>
      <c r="V21" s="530">
        <v>60</v>
      </c>
      <c r="W21" s="530">
        <v>350</v>
      </c>
      <c r="X21" s="527">
        <f>V21*W21</f>
        <v>21000</v>
      </c>
      <c r="Y21" s="530">
        <v>40</v>
      </c>
      <c r="Z21" s="530">
        <v>1250</v>
      </c>
      <c r="AA21" s="527">
        <f>Y21*Z21</f>
        <v>50000</v>
      </c>
      <c r="AB21" s="531"/>
      <c r="AC21" s="531"/>
      <c r="AD21" s="527">
        <f>AB21*AC21</f>
        <v>0</v>
      </c>
      <c r="AE21" s="527"/>
      <c r="AF21" s="527"/>
      <c r="AG21" s="626"/>
      <c r="AH21" s="626"/>
      <c r="AI21" s="527">
        <f>AG21*AH21</f>
        <v>0</v>
      </c>
      <c r="AJ21" s="626"/>
      <c r="AK21" s="626"/>
      <c r="AL21" s="527">
        <f>AJ21*AK21</f>
        <v>0</v>
      </c>
      <c r="AM21" s="527"/>
      <c r="AN21" s="527">
        <f>L21+U21+X21+AA21+AD21+AI21+AL21+AM21+AE21+AF21</f>
        <v>71000</v>
      </c>
      <c r="AO21" s="76"/>
      <c r="AP21" s="76"/>
      <c r="AQ21" s="76"/>
      <c r="AR21" s="76"/>
      <c r="AS21" s="76"/>
      <c r="AT21" s="619">
        <f>AN21-AO21-AP21-AR21</f>
        <v>71000</v>
      </c>
    </row>
    <row r="22" spans="1:46" s="536" customFormat="1" ht="36" customHeight="1" thickBot="1">
      <c r="A22" s="413"/>
      <c r="B22" s="617"/>
      <c r="C22" s="996"/>
      <c r="D22" s="1000"/>
      <c r="E22" s="413" t="s">
        <v>37</v>
      </c>
      <c r="F22" s="136" t="s">
        <v>418</v>
      </c>
      <c r="G22" s="136"/>
      <c r="H22" s="136" t="s">
        <v>74</v>
      </c>
      <c r="I22" s="528"/>
      <c r="J22" s="621"/>
      <c r="K22" s="621"/>
      <c r="L22" s="618">
        <f>I22*J22*K22</f>
        <v>0</v>
      </c>
      <c r="M22" s="537"/>
      <c r="N22" s="537"/>
      <c r="O22" s="537"/>
      <c r="P22" s="537"/>
      <c r="Q22" s="537"/>
      <c r="R22" s="537"/>
      <c r="S22" s="537"/>
      <c r="T22" s="537"/>
      <c r="U22" s="527">
        <f>(M22*N22*P22)+(M22*N22*O22*Q22)+(M22*N22*O22*R22)+(M22*O22*S22)+(M22*N22*T22)</f>
        <v>0</v>
      </c>
      <c r="V22" s="622">
        <f>27*30</f>
        <v>810</v>
      </c>
      <c r="W22" s="530">
        <v>350</v>
      </c>
      <c r="X22" s="527">
        <f>V22*W22</f>
        <v>283500</v>
      </c>
      <c r="Y22" s="622">
        <f>27*40</f>
        <v>1080</v>
      </c>
      <c r="Z22" s="530">
        <v>1250</v>
      </c>
      <c r="AA22" s="527">
        <f>Y22*Z22</f>
        <v>1350000</v>
      </c>
      <c r="AB22" s="623"/>
      <c r="AC22" s="623"/>
      <c r="AD22" s="527">
        <f>AB22*AC22</f>
        <v>0</v>
      </c>
      <c r="AE22" s="624"/>
      <c r="AF22" s="624"/>
      <c r="AG22" s="552"/>
      <c r="AH22" s="552"/>
      <c r="AI22" s="527">
        <f>AG22*AH22</f>
        <v>0</v>
      </c>
      <c r="AJ22" s="552"/>
      <c r="AK22" s="552"/>
      <c r="AL22" s="527">
        <f>AJ22*AK22</f>
        <v>0</v>
      </c>
      <c r="AM22" s="625"/>
      <c r="AN22" s="527">
        <f>L22+U22+X22+AA22+AD22+AI22+AL22+AM22+AE22+AF22</f>
        <v>1633500</v>
      </c>
      <c r="AO22" s="76"/>
      <c r="AP22" s="76"/>
      <c r="AQ22" s="76"/>
      <c r="AR22" s="76"/>
      <c r="AS22" s="76"/>
      <c r="AT22" s="619">
        <f>AN22-AO22-AP22-AR22</f>
        <v>1633500</v>
      </c>
    </row>
    <row r="23" spans="1:46" s="532" customFormat="1" ht="29.25" customHeight="1" thickBot="1">
      <c r="A23" s="413"/>
      <c r="B23" s="617"/>
      <c r="C23" s="996">
        <v>1.2</v>
      </c>
      <c r="D23" s="1000" t="s">
        <v>424</v>
      </c>
      <c r="E23" s="413" t="s">
        <v>35</v>
      </c>
      <c r="F23" s="534" t="s">
        <v>506</v>
      </c>
      <c r="G23" s="791" t="s">
        <v>411</v>
      </c>
      <c r="H23" s="136" t="s">
        <v>69</v>
      </c>
      <c r="I23" s="528"/>
      <c r="J23" s="529"/>
      <c r="K23" s="529"/>
      <c r="L23" s="618">
        <f t="shared" si="4"/>
        <v>0</v>
      </c>
      <c r="M23" s="537"/>
      <c r="N23" s="537"/>
      <c r="O23" s="537"/>
      <c r="P23" s="537"/>
      <c r="Q23" s="537"/>
      <c r="R23" s="537"/>
      <c r="S23" s="537"/>
      <c r="T23" s="537"/>
      <c r="U23" s="527">
        <f t="shared" si="0"/>
        <v>0</v>
      </c>
      <c r="V23" s="530">
        <v>30</v>
      </c>
      <c r="W23" s="530">
        <v>350</v>
      </c>
      <c r="X23" s="527">
        <f t="shared" si="1"/>
        <v>10500</v>
      </c>
      <c r="Y23" s="530">
        <v>40</v>
      </c>
      <c r="Z23" s="530">
        <v>1250</v>
      </c>
      <c r="AA23" s="527">
        <f t="shared" si="2"/>
        <v>50000</v>
      </c>
      <c r="AB23" s="531"/>
      <c r="AC23" s="531"/>
      <c r="AD23" s="527">
        <f t="shared" si="5"/>
        <v>0</v>
      </c>
      <c r="AE23" s="527"/>
      <c r="AF23" s="527"/>
      <c r="AG23" s="626"/>
      <c r="AH23" s="626"/>
      <c r="AI23" s="527">
        <f t="shared" si="3"/>
        <v>0</v>
      </c>
      <c r="AJ23" s="626"/>
      <c r="AK23" s="626"/>
      <c r="AL23" s="527"/>
      <c r="AM23" s="527">
        <v>1000</v>
      </c>
      <c r="AN23" s="527">
        <f t="shared" si="6"/>
        <v>61500</v>
      </c>
      <c r="AO23" s="76"/>
      <c r="AP23" s="76"/>
      <c r="AQ23" s="76"/>
      <c r="AR23" s="76"/>
      <c r="AS23" s="76"/>
      <c r="AT23" s="619">
        <f t="shared" si="7"/>
        <v>61500</v>
      </c>
    </row>
    <row r="24" spans="1:46" s="532" customFormat="1" ht="62.25" customHeight="1" thickBot="1">
      <c r="A24" s="413"/>
      <c r="B24" s="617"/>
      <c r="C24" s="996"/>
      <c r="D24" s="1000"/>
      <c r="E24" s="413" t="s">
        <v>36</v>
      </c>
      <c r="F24" s="534" t="s">
        <v>419</v>
      </c>
      <c r="G24" s="791" t="s">
        <v>411</v>
      </c>
      <c r="H24" s="136" t="s">
        <v>70</v>
      </c>
      <c r="I24" s="528"/>
      <c r="J24" s="529"/>
      <c r="K24" s="529"/>
      <c r="L24" s="618">
        <f t="shared" si="4"/>
        <v>0</v>
      </c>
      <c r="M24" s="537"/>
      <c r="N24" s="537"/>
      <c r="O24" s="537"/>
      <c r="P24" s="537"/>
      <c r="Q24" s="537"/>
      <c r="R24" s="537"/>
      <c r="S24" s="537"/>
      <c r="T24" s="537"/>
      <c r="U24" s="527">
        <f t="shared" si="0"/>
        <v>0</v>
      </c>
      <c r="V24" s="530">
        <v>30</v>
      </c>
      <c r="W24" s="530">
        <v>350</v>
      </c>
      <c r="X24" s="527">
        <f t="shared" si="1"/>
        <v>10500</v>
      </c>
      <c r="Y24" s="530">
        <v>30</v>
      </c>
      <c r="Z24" s="530">
        <v>1250</v>
      </c>
      <c r="AA24" s="527">
        <f t="shared" si="2"/>
        <v>37500</v>
      </c>
      <c r="AB24" s="531"/>
      <c r="AC24" s="531"/>
      <c r="AD24" s="527">
        <f t="shared" si="5"/>
        <v>0</v>
      </c>
      <c r="AE24" s="527"/>
      <c r="AF24" s="527"/>
      <c r="AG24" s="626"/>
      <c r="AH24" s="626"/>
      <c r="AI24" s="527">
        <f t="shared" si="3"/>
        <v>0</v>
      </c>
      <c r="AJ24" s="626"/>
      <c r="AK24" s="626"/>
      <c r="AL24" s="527"/>
      <c r="AM24" s="527">
        <v>1000</v>
      </c>
      <c r="AN24" s="527">
        <f t="shared" si="6"/>
        <v>49000</v>
      </c>
      <c r="AO24" s="76"/>
      <c r="AP24" s="76"/>
      <c r="AQ24" s="76"/>
      <c r="AR24" s="76"/>
      <c r="AS24" s="76"/>
      <c r="AT24" s="619">
        <f t="shared" si="7"/>
        <v>49000</v>
      </c>
    </row>
    <row r="25" spans="1:46" s="532" customFormat="1" ht="18.75" customHeight="1" thickBot="1">
      <c r="A25" s="413"/>
      <c r="B25" s="617"/>
      <c r="C25" s="996"/>
      <c r="D25" s="1000"/>
      <c r="E25" s="413"/>
      <c r="F25" s="1103" t="s">
        <v>420</v>
      </c>
      <c r="G25" s="791" t="s">
        <v>411</v>
      </c>
      <c r="H25" s="136" t="s">
        <v>71</v>
      </c>
      <c r="I25" s="528"/>
      <c r="J25" s="529"/>
      <c r="K25" s="529"/>
      <c r="L25" s="618">
        <f t="shared" si="4"/>
        <v>0</v>
      </c>
      <c r="M25" s="537">
        <f>(1+1)*6</f>
        <v>12</v>
      </c>
      <c r="N25" s="537">
        <v>1</v>
      </c>
      <c r="O25" s="537">
        <f>40+40</f>
        <v>80</v>
      </c>
      <c r="P25" s="537">
        <v>450</v>
      </c>
      <c r="Q25" s="537">
        <v>30</v>
      </c>
      <c r="R25" s="537">
        <v>80</v>
      </c>
      <c r="S25" s="537">
        <v>20</v>
      </c>
      <c r="T25" s="537"/>
      <c r="U25" s="527">
        <f t="shared" si="0"/>
        <v>130200</v>
      </c>
      <c r="V25" s="530"/>
      <c r="W25" s="530"/>
      <c r="X25" s="527">
        <f t="shared" si="1"/>
        <v>0</v>
      </c>
      <c r="Y25" s="530"/>
      <c r="Z25" s="530"/>
      <c r="AA25" s="527">
        <f t="shared" si="2"/>
        <v>0</v>
      </c>
      <c r="AB25" s="531"/>
      <c r="AC25" s="531"/>
      <c r="AD25" s="527">
        <f t="shared" si="5"/>
        <v>0</v>
      </c>
      <c r="AE25" s="527"/>
      <c r="AF25" s="527"/>
      <c r="AG25" s="626"/>
      <c r="AH25" s="626"/>
      <c r="AI25" s="527">
        <f t="shared" si="3"/>
        <v>0</v>
      </c>
      <c r="AJ25" s="626"/>
      <c r="AK25" s="626"/>
      <c r="AL25" s="527"/>
      <c r="AM25" s="527"/>
      <c r="AN25" s="527">
        <f t="shared" si="6"/>
        <v>130200</v>
      </c>
      <c r="AO25" s="76"/>
      <c r="AP25" s="76"/>
      <c r="AQ25" s="76"/>
      <c r="AR25" s="76"/>
      <c r="AS25" s="76"/>
      <c r="AT25" s="619">
        <f t="shared" si="7"/>
        <v>130200</v>
      </c>
    </row>
    <row r="26" spans="1:46" s="532" customFormat="1" ht="22.5" customHeight="1">
      <c r="A26" s="413"/>
      <c r="B26" s="617"/>
      <c r="C26" s="996"/>
      <c r="D26" s="1000"/>
      <c r="E26" s="413" t="s">
        <v>37</v>
      </c>
      <c r="F26" s="1103"/>
      <c r="G26" s="791" t="s">
        <v>411</v>
      </c>
      <c r="H26" s="136" t="s">
        <v>72</v>
      </c>
      <c r="I26" s="528"/>
      <c r="J26" s="529"/>
      <c r="K26" s="529"/>
      <c r="L26" s="618">
        <f t="shared" si="4"/>
        <v>0</v>
      </c>
      <c r="M26" s="537">
        <f>2*20*6</f>
        <v>240</v>
      </c>
      <c r="N26" s="537">
        <v>2</v>
      </c>
      <c r="O26" s="537">
        <v>20</v>
      </c>
      <c r="P26" s="537"/>
      <c r="Q26" s="537">
        <v>25</v>
      </c>
      <c r="R26" s="537"/>
      <c r="S26" s="537">
        <v>20</v>
      </c>
      <c r="T26" s="537">
        <v>65</v>
      </c>
      <c r="U26" s="527">
        <f t="shared" si="0"/>
        <v>367200</v>
      </c>
      <c r="V26" s="530"/>
      <c r="W26" s="530"/>
      <c r="X26" s="527">
        <f t="shared" si="1"/>
        <v>0</v>
      </c>
      <c r="Y26" s="530"/>
      <c r="Z26" s="530"/>
      <c r="AA26" s="527">
        <f t="shared" si="2"/>
        <v>0</v>
      </c>
      <c r="AB26" s="531"/>
      <c r="AC26" s="531"/>
      <c r="AD26" s="527">
        <f t="shared" si="5"/>
        <v>0</v>
      </c>
      <c r="AE26" s="527"/>
      <c r="AF26" s="527"/>
      <c r="AG26" s="626"/>
      <c r="AH26" s="626"/>
      <c r="AI26" s="527">
        <f t="shared" si="3"/>
        <v>0</v>
      </c>
      <c r="AJ26" s="626"/>
      <c r="AK26" s="626"/>
      <c r="AL26" s="527"/>
      <c r="AM26" s="527"/>
      <c r="AN26" s="527">
        <f t="shared" si="6"/>
        <v>367200</v>
      </c>
      <c r="AO26" s="76"/>
      <c r="AP26" s="76"/>
      <c r="AQ26" s="76"/>
      <c r="AR26" s="76"/>
      <c r="AS26" s="76"/>
      <c r="AT26" s="619">
        <f t="shared" si="7"/>
        <v>367200</v>
      </c>
    </row>
    <row r="27" spans="1:46" s="536" customFormat="1" ht="24" customHeight="1">
      <c r="A27" s="413"/>
      <c r="B27" s="617"/>
      <c r="C27" s="570">
        <v>1.3</v>
      </c>
      <c r="D27" s="1000" t="s">
        <v>425</v>
      </c>
      <c r="E27" s="413" t="s">
        <v>39</v>
      </c>
      <c r="F27" s="533" t="s">
        <v>421</v>
      </c>
      <c r="G27" s="136"/>
      <c r="H27" s="136" t="s">
        <v>75</v>
      </c>
      <c r="I27" s="528">
        <v>5</v>
      </c>
      <c r="J27" s="529">
        <v>720</v>
      </c>
      <c r="K27" s="529">
        <f>12*6</f>
        <v>72</v>
      </c>
      <c r="L27" s="618">
        <f t="shared" si="4"/>
        <v>259200</v>
      </c>
      <c r="M27" s="537"/>
      <c r="N27" s="537"/>
      <c r="O27" s="537"/>
      <c r="P27" s="537"/>
      <c r="Q27" s="537"/>
      <c r="R27" s="537"/>
      <c r="S27" s="537"/>
      <c r="T27" s="537"/>
      <c r="U27" s="527">
        <f t="shared" si="0"/>
        <v>0</v>
      </c>
      <c r="V27" s="530"/>
      <c r="W27" s="530"/>
      <c r="X27" s="527">
        <f t="shared" si="1"/>
        <v>0</v>
      </c>
      <c r="Y27" s="530"/>
      <c r="Z27" s="530"/>
      <c r="AA27" s="527">
        <f t="shared" si="2"/>
        <v>0</v>
      </c>
      <c r="AB27" s="531"/>
      <c r="AC27" s="531"/>
      <c r="AD27" s="527">
        <f t="shared" si="5"/>
        <v>0</v>
      </c>
      <c r="AE27" s="527"/>
      <c r="AF27" s="527"/>
      <c r="AG27" s="626"/>
      <c r="AH27" s="626"/>
      <c r="AI27" s="527">
        <f t="shared" si="3"/>
        <v>0</v>
      </c>
      <c r="AJ27" s="626"/>
      <c r="AK27" s="626"/>
      <c r="AL27" s="527">
        <f>AJ27*AK27</f>
        <v>0</v>
      </c>
      <c r="AM27" s="527"/>
      <c r="AN27" s="527">
        <f t="shared" si="6"/>
        <v>259200</v>
      </c>
      <c r="AO27" s="76"/>
      <c r="AP27" s="76"/>
      <c r="AQ27" s="76"/>
      <c r="AR27" s="76"/>
      <c r="AS27" s="76"/>
      <c r="AT27" s="619">
        <f t="shared" si="7"/>
        <v>259200</v>
      </c>
    </row>
    <row r="28" spans="1:46" s="536" customFormat="1" ht="42" customHeight="1">
      <c r="A28" s="413"/>
      <c r="B28" s="617"/>
      <c r="C28" s="570"/>
      <c r="D28" s="1000"/>
      <c r="E28" s="413" t="s">
        <v>40</v>
      </c>
      <c r="F28" s="534" t="s">
        <v>422</v>
      </c>
      <c r="G28" s="136" t="s">
        <v>426</v>
      </c>
      <c r="H28" s="136"/>
      <c r="I28" s="528"/>
      <c r="J28" s="529"/>
      <c r="K28" s="529"/>
      <c r="L28" s="618">
        <f t="shared" si="4"/>
        <v>0</v>
      </c>
      <c r="M28" s="537">
        <v>2</v>
      </c>
      <c r="N28" s="537">
        <v>2</v>
      </c>
      <c r="O28" s="537">
        <v>15</v>
      </c>
      <c r="P28" s="537">
        <v>350</v>
      </c>
      <c r="Q28" s="537">
        <v>25</v>
      </c>
      <c r="R28" s="537">
        <v>50</v>
      </c>
      <c r="S28" s="537">
        <v>20</v>
      </c>
      <c r="T28" s="537"/>
      <c r="U28" s="527">
        <f t="shared" si="0"/>
        <v>6500</v>
      </c>
      <c r="V28" s="530"/>
      <c r="W28" s="530"/>
      <c r="X28" s="527">
        <f t="shared" si="1"/>
        <v>0</v>
      </c>
      <c r="Y28" s="530"/>
      <c r="Z28" s="530"/>
      <c r="AA28" s="527">
        <f t="shared" si="2"/>
        <v>0</v>
      </c>
      <c r="AB28" s="531"/>
      <c r="AC28" s="531"/>
      <c r="AD28" s="527">
        <f t="shared" si="5"/>
        <v>0</v>
      </c>
      <c r="AE28" s="527"/>
      <c r="AF28" s="527"/>
      <c r="AG28" s="626"/>
      <c r="AH28" s="626"/>
      <c r="AI28" s="527">
        <f t="shared" si="3"/>
        <v>0</v>
      </c>
      <c r="AJ28" s="626"/>
      <c r="AK28" s="626"/>
      <c r="AL28" s="527">
        <f>AJ28*AK28</f>
        <v>0</v>
      </c>
      <c r="AM28" s="527"/>
      <c r="AN28" s="527">
        <f t="shared" si="6"/>
        <v>6500</v>
      </c>
      <c r="AO28" s="76"/>
      <c r="AP28" s="76"/>
      <c r="AQ28" s="76"/>
      <c r="AR28" s="76"/>
      <c r="AS28" s="76"/>
      <c r="AT28" s="619">
        <f t="shared" si="7"/>
        <v>6500</v>
      </c>
    </row>
    <row r="29" spans="1:46" s="536" customFormat="1" ht="46.5" customHeight="1" thickBot="1">
      <c r="A29" s="413"/>
      <c r="B29" s="617"/>
      <c r="C29" s="570"/>
      <c r="D29" s="1000"/>
      <c r="E29" s="413" t="s">
        <v>41</v>
      </c>
      <c r="F29" s="136" t="s">
        <v>423</v>
      </c>
      <c r="G29" s="136"/>
      <c r="H29" s="136" t="s">
        <v>76</v>
      </c>
      <c r="I29" s="528"/>
      <c r="J29" s="621"/>
      <c r="K29" s="621"/>
      <c r="L29" s="618">
        <f t="shared" si="4"/>
        <v>0</v>
      </c>
      <c r="M29" s="537"/>
      <c r="N29" s="537"/>
      <c r="O29" s="622"/>
      <c r="P29" s="622"/>
      <c r="Q29" s="622"/>
      <c r="R29" s="622"/>
      <c r="S29" s="622"/>
      <c r="T29" s="622"/>
      <c r="U29" s="527">
        <f t="shared" si="0"/>
        <v>0</v>
      </c>
      <c r="V29" s="622"/>
      <c r="W29" s="622"/>
      <c r="X29" s="527">
        <f t="shared" si="1"/>
        <v>0</v>
      </c>
      <c r="Y29" s="622"/>
      <c r="Z29" s="622"/>
      <c r="AA29" s="527">
        <f t="shared" si="2"/>
        <v>0</v>
      </c>
      <c r="AB29" s="623"/>
      <c r="AC29" s="623"/>
      <c r="AD29" s="527">
        <f t="shared" si="5"/>
        <v>0</v>
      </c>
      <c r="AE29" s="624"/>
      <c r="AF29" s="624"/>
      <c r="AG29" s="552"/>
      <c r="AH29" s="552"/>
      <c r="AI29" s="527">
        <f t="shared" si="3"/>
        <v>0</v>
      </c>
      <c r="AJ29" s="552"/>
      <c r="AK29" s="552"/>
      <c r="AL29" s="527">
        <f>AJ29*AK29</f>
        <v>0</v>
      </c>
      <c r="AM29" s="625">
        <v>9000</v>
      </c>
      <c r="AN29" s="527">
        <f t="shared" si="6"/>
        <v>9000</v>
      </c>
      <c r="AO29" s="76"/>
      <c r="AP29" s="76"/>
      <c r="AQ29" s="76"/>
      <c r="AR29" s="76"/>
      <c r="AS29" s="76"/>
      <c r="AT29" s="619">
        <f t="shared" si="7"/>
        <v>9000</v>
      </c>
    </row>
    <row r="30" spans="1:46" s="526" customFormat="1" ht="28.5" customHeight="1">
      <c r="A30" s="413"/>
      <c r="B30" s="617"/>
      <c r="C30" s="996">
        <v>1.4</v>
      </c>
      <c r="D30" s="1000" t="s">
        <v>429</v>
      </c>
      <c r="E30" s="413" t="s">
        <v>44</v>
      </c>
      <c r="F30" s="758" t="s">
        <v>428</v>
      </c>
      <c r="G30" s="136" t="s">
        <v>33</v>
      </c>
      <c r="H30" s="136"/>
      <c r="I30" s="528"/>
      <c r="J30" s="529"/>
      <c r="K30" s="529"/>
      <c r="L30" s="618">
        <f t="shared" si="4"/>
        <v>0</v>
      </c>
      <c r="M30" s="537"/>
      <c r="N30" s="537"/>
      <c r="O30" s="537"/>
      <c r="P30" s="537"/>
      <c r="Q30" s="537"/>
      <c r="R30" s="537"/>
      <c r="S30" s="537"/>
      <c r="T30" s="537"/>
      <c r="U30" s="527">
        <f t="shared" si="0"/>
        <v>0</v>
      </c>
      <c r="V30" s="530"/>
      <c r="W30" s="530"/>
      <c r="X30" s="527">
        <f t="shared" si="1"/>
        <v>0</v>
      </c>
      <c r="Y30" s="530"/>
      <c r="Z30" s="530"/>
      <c r="AA30" s="527">
        <f t="shared" si="2"/>
        <v>0</v>
      </c>
      <c r="AB30" s="531"/>
      <c r="AC30" s="531"/>
      <c r="AD30" s="527">
        <f t="shared" si="5"/>
        <v>0</v>
      </c>
      <c r="AE30" s="527"/>
      <c r="AF30" s="527">
        <v>250000</v>
      </c>
      <c r="AG30" s="626"/>
      <c r="AH30" s="626"/>
      <c r="AI30" s="527">
        <f t="shared" si="3"/>
        <v>0</v>
      </c>
      <c r="AJ30" s="626"/>
      <c r="AK30" s="626"/>
      <c r="AL30" s="527">
        <f>AJ30*AK30</f>
        <v>0</v>
      </c>
      <c r="AM30" s="527"/>
      <c r="AN30" s="527">
        <f t="shared" si="6"/>
        <v>250000</v>
      </c>
      <c r="AO30" s="76"/>
      <c r="AP30" s="76"/>
      <c r="AQ30" s="76"/>
      <c r="AR30" s="76">
        <v>250000</v>
      </c>
      <c r="AS30" s="76"/>
      <c r="AT30" s="619">
        <f t="shared" si="7"/>
        <v>0</v>
      </c>
    </row>
    <row r="31" spans="1:46" s="536" customFormat="1" ht="90.75" customHeight="1">
      <c r="A31" s="413"/>
      <c r="B31" s="617"/>
      <c r="C31" s="996"/>
      <c r="D31" s="1000"/>
      <c r="E31" s="413" t="s">
        <v>46</v>
      </c>
      <c r="F31" s="534" t="s">
        <v>430</v>
      </c>
      <c r="G31" s="136"/>
      <c r="H31" s="136" t="s">
        <v>77</v>
      </c>
      <c r="I31" s="528"/>
      <c r="J31" s="621"/>
      <c r="K31" s="621"/>
      <c r="L31" s="618">
        <f t="shared" si="4"/>
        <v>0</v>
      </c>
      <c r="M31" s="537">
        <f>1*6</f>
        <v>6</v>
      </c>
      <c r="N31" s="537">
        <v>1</v>
      </c>
      <c r="O31" s="622">
        <v>40</v>
      </c>
      <c r="P31" s="622"/>
      <c r="Q31" s="622">
        <v>25</v>
      </c>
      <c r="R31" s="622"/>
      <c r="S31" s="622">
        <v>20</v>
      </c>
      <c r="T31" s="622">
        <v>65</v>
      </c>
      <c r="U31" s="527">
        <f t="shared" si="0"/>
        <v>11190</v>
      </c>
      <c r="V31" s="622"/>
      <c r="W31" s="622"/>
      <c r="X31" s="527">
        <f t="shared" si="1"/>
        <v>0</v>
      </c>
      <c r="Y31" s="622"/>
      <c r="Z31" s="622"/>
      <c r="AA31" s="527">
        <f t="shared" si="2"/>
        <v>0</v>
      </c>
      <c r="AB31" s="623"/>
      <c r="AC31" s="623"/>
      <c r="AD31" s="527">
        <f t="shared" si="5"/>
        <v>0</v>
      </c>
      <c r="AE31" s="624"/>
      <c r="AF31" s="624"/>
      <c r="AG31" s="552"/>
      <c r="AH31" s="552"/>
      <c r="AI31" s="527">
        <f t="shared" si="3"/>
        <v>0</v>
      </c>
      <c r="AJ31" s="552"/>
      <c r="AK31" s="552"/>
      <c r="AL31" s="527">
        <f>AJ31*AK31</f>
        <v>0</v>
      </c>
      <c r="AM31" s="625"/>
      <c r="AN31" s="527">
        <f t="shared" si="6"/>
        <v>11190</v>
      </c>
      <c r="AO31" s="76"/>
      <c r="AP31" s="76"/>
      <c r="AQ31" s="76"/>
      <c r="AR31" s="76"/>
      <c r="AS31" s="76"/>
      <c r="AT31" s="619">
        <f t="shared" si="7"/>
        <v>11190</v>
      </c>
    </row>
    <row r="32" spans="1:46" s="526" customFormat="1" ht="51.75" customHeight="1">
      <c r="A32" s="413"/>
      <c r="B32" s="617"/>
      <c r="C32" s="996"/>
      <c r="D32" s="1000" t="s">
        <v>431</v>
      </c>
      <c r="E32" s="413" t="s">
        <v>48</v>
      </c>
      <c r="F32" s="534" t="s">
        <v>432</v>
      </c>
      <c r="G32" s="1102" t="s">
        <v>427</v>
      </c>
      <c r="H32" s="136" t="s">
        <v>78</v>
      </c>
      <c r="I32" s="528"/>
      <c r="J32" s="529"/>
      <c r="K32" s="529"/>
      <c r="L32" s="618">
        <f t="shared" si="4"/>
        <v>0</v>
      </c>
      <c r="M32" s="537"/>
      <c r="N32" s="537"/>
      <c r="O32" s="537"/>
      <c r="P32" s="537"/>
      <c r="Q32" s="537"/>
      <c r="R32" s="537"/>
      <c r="S32" s="537"/>
      <c r="T32" s="537"/>
      <c r="U32" s="527">
        <f t="shared" si="0"/>
        <v>0</v>
      </c>
      <c r="V32" s="530"/>
      <c r="W32" s="530"/>
      <c r="X32" s="527">
        <f t="shared" si="1"/>
        <v>0</v>
      </c>
      <c r="Y32" s="530"/>
      <c r="Z32" s="530"/>
      <c r="AA32" s="527">
        <f t="shared" si="2"/>
        <v>0</v>
      </c>
      <c r="AB32" s="531"/>
      <c r="AC32" s="531"/>
      <c r="AD32" s="527">
        <f t="shared" si="5"/>
        <v>0</v>
      </c>
      <c r="AE32" s="527"/>
      <c r="AF32" s="527"/>
      <c r="AG32" s="626"/>
      <c r="AH32" s="626"/>
      <c r="AI32" s="527">
        <f t="shared" si="3"/>
        <v>0</v>
      </c>
      <c r="AJ32" s="626"/>
      <c r="AK32" s="626"/>
      <c r="AL32" s="527"/>
      <c r="AM32" s="527"/>
      <c r="AN32" s="527">
        <f t="shared" si="6"/>
        <v>0</v>
      </c>
      <c r="AO32" s="76"/>
      <c r="AP32" s="76"/>
      <c r="AQ32" s="76"/>
      <c r="AR32" s="76"/>
      <c r="AS32" s="76"/>
      <c r="AT32" s="619">
        <f t="shared" si="7"/>
        <v>0</v>
      </c>
    </row>
    <row r="33" spans="1:46" s="532" customFormat="1" ht="36" customHeight="1">
      <c r="A33" s="413"/>
      <c r="B33" s="617"/>
      <c r="C33" s="996"/>
      <c r="D33" s="1000"/>
      <c r="E33" s="413" t="s">
        <v>79</v>
      </c>
      <c r="F33" s="533" t="s">
        <v>433</v>
      </c>
      <c r="G33" s="1102"/>
      <c r="H33" s="136" t="s">
        <v>80</v>
      </c>
      <c r="I33" s="528"/>
      <c r="J33" s="529"/>
      <c r="K33" s="529"/>
      <c r="L33" s="618">
        <f t="shared" si="4"/>
        <v>0</v>
      </c>
      <c r="M33" s="537"/>
      <c r="N33" s="537"/>
      <c r="O33" s="537"/>
      <c r="P33" s="537"/>
      <c r="Q33" s="537"/>
      <c r="R33" s="537"/>
      <c r="S33" s="537"/>
      <c r="T33" s="537"/>
      <c r="U33" s="527">
        <f t="shared" si="0"/>
        <v>0</v>
      </c>
      <c r="V33" s="530"/>
      <c r="W33" s="530"/>
      <c r="X33" s="527">
        <f t="shared" si="1"/>
        <v>0</v>
      </c>
      <c r="Y33" s="530"/>
      <c r="Z33" s="530"/>
      <c r="AA33" s="527">
        <f t="shared" si="2"/>
        <v>0</v>
      </c>
      <c r="AB33" s="531"/>
      <c r="AC33" s="531"/>
      <c r="AD33" s="527">
        <f t="shared" si="5"/>
        <v>0</v>
      </c>
      <c r="AE33" s="527"/>
      <c r="AF33" s="527"/>
      <c r="AG33" s="626"/>
      <c r="AH33" s="626"/>
      <c r="AI33" s="527">
        <f t="shared" si="3"/>
        <v>0</v>
      </c>
      <c r="AJ33" s="626"/>
      <c r="AK33" s="626"/>
      <c r="AL33" s="527">
        <f aca="true" t="shared" si="8" ref="AL33:AL38">AJ33*AK33</f>
        <v>0</v>
      </c>
      <c r="AM33" s="527"/>
      <c r="AN33" s="527">
        <f t="shared" si="6"/>
        <v>0</v>
      </c>
      <c r="AO33" s="76"/>
      <c r="AP33" s="76"/>
      <c r="AQ33" s="76"/>
      <c r="AR33" s="76"/>
      <c r="AS33" s="76"/>
      <c r="AT33" s="619">
        <f t="shared" si="7"/>
        <v>0</v>
      </c>
    </row>
    <row r="34" spans="1:46" s="536" customFormat="1" ht="56.25">
      <c r="A34" s="413"/>
      <c r="B34" s="617"/>
      <c r="C34" s="570">
        <v>1.6</v>
      </c>
      <c r="D34" s="413" t="s">
        <v>434</v>
      </c>
      <c r="E34" s="413" t="s">
        <v>117</v>
      </c>
      <c r="F34" s="534" t="s">
        <v>435</v>
      </c>
      <c r="G34" s="136"/>
      <c r="H34" s="136" t="s">
        <v>81</v>
      </c>
      <c r="I34" s="528"/>
      <c r="J34" s="529"/>
      <c r="K34" s="529"/>
      <c r="L34" s="618">
        <f t="shared" si="4"/>
        <v>0</v>
      </c>
      <c r="M34" s="537">
        <v>20</v>
      </c>
      <c r="N34" s="537">
        <v>3</v>
      </c>
      <c r="O34" s="537">
        <v>15</v>
      </c>
      <c r="P34" s="537"/>
      <c r="Q34" s="537">
        <v>25</v>
      </c>
      <c r="R34" s="537"/>
      <c r="S34" s="537">
        <v>5</v>
      </c>
      <c r="T34" s="537">
        <v>65</v>
      </c>
      <c r="U34" s="527">
        <f t="shared" si="0"/>
        <v>27900</v>
      </c>
      <c r="V34" s="626"/>
      <c r="W34" s="626"/>
      <c r="X34" s="527">
        <f t="shared" si="1"/>
        <v>0</v>
      </c>
      <c r="Y34" s="530"/>
      <c r="Z34" s="530"/>
      <c r="AA34" s="527">
        <f t="shared" si="2"/>
        <v>0</v>
      </c>
      <c r="AB34" s="531"/>
      <c r="AC34" s="531"/>
      <c r="AD34" s="527">
        <f t="shared" si="5"/>
        <v>0</v>
      </c>
      <c r="AE34" s="527"/>
      <c r="AF34" s="527"/>
      <c r="AG34" s="626"/>
      <c r="AH34" s="626"/>
      <c r="AI34" s="527">
        <f t="shared" si="3"/>
        <v>0</v>
      </c>
      <c r="AJ34" s="626"/>
      <c r="AK34" s="626"/>
      <c r="AL34" s="527">
        <f t="shared" si="8"/>
        <v>0</v>
      </c>
      <c r="AM34" s="527"/>
      <c r="AN34" s="527">
        <f t="shared" si="6"/>
        <v>27900</v>
      </c>
      <c r="AO34" s="76"/>
      <c r="AP34" s="76"/>
      <c r="AQ34" s="76"/>
      <c r="AR34" s="76"/>
      <c r="AS34" s="76"/>
      <c r="AT34" s="619">
        <f t="shared" si="7"/>
        <v>27900</v>
      </c>
    </row>
    <row r="35" spans="1:46" s="536" customFormat="1" ht="42" customHeight="1">
      <c r="A35" s="413"/>
      <c r="B35" s="617"/>
      <c r="C35" s="996">
        <v>1.7</v>
      </c>
      <c r="D35" s="1000" t="s">
        <v>436</v>
      </c>
      <c r="E35" s="413" t="s">
        <v>212</v>
      </c>
      <c r="F35" s="534" t="s">
        <v>437</v>
      </c>
      <c r="G35" s="136"/>
      <c r="H35" s="136" t="s">
        <v>82</v>
      </c>
      <c r="I35" s="528"/>
      <c r="J35" s="529"/>
      <c r="K35" s="529"/>
      <c r="L35" s="618">
        <f t="shared" si="4"/>
        <v>0</v>
      </c>
      <c r="M35" s="537">
        <v>23</v>
      </c>
      <c r="N35" s="537">
        <v>2</v>
      </c>
      <c r="O35" s="537">
        <v>20</v>
      </c>
      <c r="P35" s="537"/>
      <c r="Q35" s="537">
        <v>25</v>
      </c>
      <c r="R35" s="537"/>
      <c r="S35" s="537">
        <v>10</v>
      </c>
      <c r="T35" s="537">
        <v>65</v>
      </c>
      <c r="U35" s="527">
        <f t="shared" si="0"/>
        <v>30590</v>
      </c>
      <c r="V35" s="530">
        <v>20</v>
      </c>
      <c r="W35" s="530">
        <v>350</v>
      </c>
      <c r="X35" s="527">
        <f t="shared" si="1"/>
        <v>7000</v>
      </c>
      <c r="Y35" s="530">
        <v>20</v>
      </c>
      <c r="Z35" s="530">
        <v>1250</v>
      </c>
      <c r="AA35" s="527">
        <f t="shared" si="2"/>
        <v>25000</v>
      </c>
      <c r="AB35" s="531"/>
      <c r="AC35" s="531"/>
      <c r="AD35" s="527">
        <f t="shared" si="5"/>
        <v>0</v>
      </c>
      <c r="AE35" s="527"/>
      <c r="AF35" s="527"/>
      <c r="AG35" s="626"/>
      <c r="AH35" s="626"/>
      <c r="AI35" s="527">
        <f t="shared" si="3"/>
        <v>0</v>
      </c>
      <c r="AJ35" s="626"/>
      <c r="AK35" s="626"/>
      <c r="AL35" s="527">
        <f t="shared" si="8"/>
        <v>0</v>
      </c>
      <c r="AM35" s="527"/>
      <c r="AN35" s="527">
        <f t="shared" si="6"/>
        <v>62590</v>
      </c>
      <c r="AO35" s="76"/>
      <c r="AP35" s="76"/>
      <c r="AQ35" s="76"/>
      <c r="AR35" s="76"/>
      <c r="AS35" s="76"/>
      <c r="AT35" s="619">
        <f t="shared" si="7"/>
        <v>62590</v>
      </c>
    </row>
    <row r="36" spans="1:46" s="536" customFormat="1" ht="48.75" customHeight="1">
      <c r="A36" s="413"/>
      <c r="B36" s="617"/>
      <c r="C36" s="996"/>
      <c r="D36" s="1000"/>
      <c r="E36" s="413" t="s">
        <v>213</v>
      </c>
      <c r="F36" s="136" t="s">
        <v>438</v>
      </c>
      <c r="G36" s="136"/>
      <c r="H36" s="136" t="s">
        <v>83</v>
      </c>
      <c r="I36" s="528"/>
      <c r="J36" s="529"/>
      <c r="K36" s="529"/>
      <c r="L36" s="618">
        <f t="shared" si="4"/>
        <v>0</v>
      </c>
      <c r="M36" s="537">
        <v>6</v>
      </c>
      <c r="N36" s="537">
        <v>3</v>
      </c>
      <c r="O36" s="537">
        <v>10</v>
      </c>
      <c r="P36" s="537"/>
      <c r="Q36" s="537">
        <v>25</v>
      </c>
      <c r="R36" s="537"/>
      <c r="S36" s="537">
        <v>10</v>
      </c>
      <c r="T36" s="537">
        <v>65</v>
      </c>
      <c r="U36" s="527">
        <f t="shared" si="0"/>
        <v>6270</v>
      </c>
      <c r="V36" s="530"/>
      <c r="W36" s="530"/>
      <c r="X36" s="527">
        <f t="shared" si="1"/>
        <v>0</v>
      </c>
      <c r="Y36" s="530"/>
      <c r="Z36" s="530"/>
      <c r="AA36" s="527">
        <f t="shared" si="2"/>
        <v>0</v>
      </c>
      <c r="AB36" s="531"/>
      <c r="AC36" s="531"/>
      <c r="AD36" s="527">
        <f t="shared" si="5"/>
        <v>0</v>
      </c>
      <c r="AE36" s="527"/>
      <c r="AF36" s="527"/>
      <c r="AG36" s="626"/>
      <c r="AH36" s="626"/>
      <c r="AI36" s="527">
        <f t="shared" si="3"/>
        <v>0</v>
      </c>
      <c r="AJ36" s="626"/>
      <c r="AK36" s="626"/>
      <c r="AL36" s="527">
        <f t="shared" si="8"/>
        <v>0</v>
      </c>
      <c r="AM36" s="527">
        <f>(3*2*500)+(3*2*5*80)+(3*2*5*50)</f>
        <v>6900</v>
      </c>
      <c r="AN36" s="527">
        <f t="shared" si="6"/>
        <v>13170</v>
      </c>
      <c r="AO36" s="76"/>
      <c r="AP36" s="76"/>
      <c r="AQ36" s="76"/>
      <c r="AR36" s="76"/>
      <c r="AS36" s="76"/>
      <c r="AT36" s="619">
        <f t="shared" si="7"/>
        <v>13170</v>
      </c>
    </row>
    <row r="37" spans="1:46" s="536" customFormat="1" ht="27" customHeight="1">
      <c r="A37" s="413"/>
      <c r="B37" s="617"/>
      <c r="C37" s="996"/>
      <c r="D37" s="1000"/>
      <c r="E37" s="413" t="s">
        <v>214</v>
      </c>
      <c r="F37" s="136"/>
      <c r="G37" s="136"/>
      <c r="H37" s="136"/>
      <c r="I37" s="528"/>
      <c r="J37" s="621"/>
      <c r="K37" s="621"/>
      <c r="L37" s="618">
        <f t="shared" si="4"/>
        <v>0</v>
      </c>
      <c r="M37" s="537"/>
      <c r="N37" s="537"/>
      <c r="O37" s="622"/>
      <c r="P37" s="622"/>
      <c r="Q37" s="622"/>
      <c r="R37" s="622"/>
      <c r="S37" s="622"/>
      <c r="T37" s="622"/>
      <c r="U37" s="527">
        <f t="shared" si="0"/>
        <v>0</v>
      </c>
      <c r="V37" s="622"/>
      <c r="W37" s="622"/>
      <c r="X37" s="527">
        <f t="shared" si="1"/>
        <v>0</v>
      </c>
      <c r="Y37" s="622"/>
      <c r="Z37" s="622"/>
      <c r="AA37" s="527">
        <f t="shared" si="2"/>
        <v>0</v>
      </c>
      <c r="AB37" s="623"/>
      <c r="AC37" s="623"/>
      <c r="AD37" s="527">
        <f t="shared" si="5"/>
        <v>0</v>
      </c>
      <c r="AE37" s="624"/>
      <c r="AF37" s="624"/>
      <c r="AG37" s="552"/>
      <c r="AH37" s="552"/>
      <c r="AI37" s="527">
        <f t="shared" si="3"/>
        <v>0</v>
      </c>
      <c r="AJ37" s="552"/>
      <c r="AK37" s="552"/>
      <c r="AL37" s="527">
        <f t="shared" si="8"/>
        <v>0</v>
      </c>
      <c r="AM37" s="625"/>
      <c r="AN37" s="527">
        <f t="shared" si="6"/>
        <v>0</v>
      </c>
      <c r="AO37" s="76"/>
      <c r="AP37" s="76"/>
      <c r="AQ37" s="76"/>
      <c r="AR37" s="76"/>
      <c r="AS37" s="76"/>
      <c r="AT37" s="619">
        <f t="shared" si="7"/>
        <v>0</v>
      </c>
    </row>
    <row r="38" spans="1:46" s="526" customFormat="1" ht="39.75" customHeight="1">
      <c r="A38" s="413"/>
      <c r="B38" s="617"/>
      <c r="C38" s="996">
        <v>1.8</v>
      </c>
      <c r="D38" s="1000" t="s">
        <v>440</v>
      </c>
      <c r="E38" s="413" t="s">
        <v>118</v>
      </c>
      <c r="F38" s="136" t="s">
        <v>439</v>
      </c>
      <c r="G38" s="136"/>
      <c r="H38" s="136" t="s">
        <v>84</v>
      </c>
      <c r="I38" s="528"/>
      <c r="J38" s="529"/>
      <c r="K38" s="529"/>
      <c r="L38" s="618">
        <f t="shared" si="4"/>
        <v>0</v>
      </c>
      <c r="M38" s="537"/>
      <c r="N38" s="537"/>
      <c r="O38" s="537"/>
      <c r="P38" s="537"/>
      <c r="Q38" s="537"/>
      <c r="R38" s="537"/>
      <c r="S38" s="537"/>
      <c r="T38" s="537"/>
      <c r="U38" s="527">
        <f t="shared" si="0"/>
        <v>0</v>
      </c>
      <c r="V38" s="530">
        <v>30</v>
      </c>
      <c r="W38" s="530">
        <v>350</v>
      </c>
      <c r="X38" s="527">
        <f t="shared" si="1"/>
        <v>10500</v>
      </c>
      <c r="Y38" s="530">
        <v>35</v>
      </c>
      <c r="Z38" s="530">
        <v>1250</v>
      </c>
      <c r="AA38" s="527">
        <f t="shared" si="2"/>
        <v>43750</v>
      </c>
      <c r="AB38" s="531"/>
      <c r="AC38" s="531"/>
      <c r="AD38" s="527">
        <f t="shared" si="5"/>
        <v>0</v>
      </c>
      <c r="AE38" s="527"/>
      <c r="AF38" s="527"/>
      <c r="AG38" s="626"/>
      <c r="AH38" s="626"/>
      <c r="AI38" s="527">
        <f t="shared" si="3"/>
        <v>0</v>
      </c>
      <c r="AJ38" s="626"/>
      <c r="AK38" s="626"/>
      <c r="AL38" s="527">
        <f t="shared" si="8"/>
        <v>0</v>
      </c>
      <c r="AM38" s="527">
        <v>1500</v>
      </c>
      <c r="AN38" s="527">
        <f t="shared" si="6"/>
        <v>55750</v>
      </c>
      <c r="AO38" s="76"/>
      <c r="AP38" s="76"/>
      <c r="AQ38" s="76"/>
      <c r="AR38" s="76"/>
      <c r="AS38" s="76"/>
      <c r="AT38" s="619">
        <f t="shared" si="7"/>
        <v>55750</v>
      </c>
    </row>
    <row r="39" spans="1:46" s="526" customFormat="1" ht="42.75" customHeight="1">
      <c r="A39" s="413"/>
      <c r="B39" s="617"/>
      <c r="C39" s="996"/>
      <c r="D39" s="1000"/>
      <c r="E39" s="413" t="s">
        <v>119</v>
      </c>
      <c r="F39" s="136" t="s">
        <v>441</v>
      </c>
      <c r="G39" s="136"/>
      <c r="H39" s="136"/>
      <c r="I39" s="528"/>
      <c r="J39" s="529"/>
      <c r="K39" s="529"/>
      <c r="L39" s="618">
        <f t="shared" si="4"/>
        <v>0</v>
      </c>
      <c r="M39" s="537"/>
      <c r="N39" s="537"/>
      <c r="O39" s="537"/>
      <c r="P39" s="537"/>
      <c r="Q39" s="537"/>
      <c r="R39" s="537"/>
      <c r="S39" s="537"/>
      <c r="T39" s="537"/>
      <c r="U39" s="527">
        <f t="shared" si="0"/>
        <v>0</v>
      </c>
      <c r="V39" s="530">
        <v>10</v>
      </c>
      <c r="W39" s="530">
        <v>350</v>
      </c>
      <c r="X39" s="527">
        <f t="shared" si="1"/>
        <v>3500</v>
      </c>
      <c r="Y39" s="530">
        <v>10</v>
      </c>
      <c r="Z39" s="530">
        <v>1250</v>
      </c>
      <c r="AA39" s="527">
        <f t="shared" si="2"/>
        <v>12500</v>
      </c>
      <c r="AB39" s="531"/>
      <c r="AC39" s="531"/>
      <c r="AD39" s="527">
        <f t="shared" si="5"/>
        <v>0</v>
      </c>
      <c r="AE39" s="527"/>
      <c r="AF39" s="527"/>
      <c r="AG39" s="626"/>
      <c r="AH39" s="626"/>
      <c r="AI39" s="527">
        <f t="shared" si="3"/>
        <v>0</v>
      </c>
      <c r="AJ39" s="626"/>
      <c r="AK39" s="626"/>
      <c r="AL39" s="527"/>
      <c r="AM39" s="527"/>
      <c r="AN39" s="527">
        <f t="shared" si="6"/>
        <v>16000</v>
      </c>
      <c r="AO39" s="76"/>
      <c r="AP39" s="76"/>
      <c r="AQ39" s="76"/>
      <c r="AR39" s="76"/>
      <c r="AS39" s="76"/>
      <c r="AT39" s="619">
        <f t="shared" si="7"/>
        <v>16000</v>
      </c>
    </row>
    <row r="40" spans="1:46" s="532" customFormat="1" ht="40.5" customHeight="1">
      <c r="A40" s="413"/>
      <c r="B40" s="617"/>
      <c r="C40" s="996"/>
      <c r="D40" s="1000"/>
      <c r="E40" s="413" t="s">
        <v>123</v>
      </c>
      <c r="F40" s="136" t="s">
        <v>442</v>
      </c>
      <c r="G40" s="136"/>
      <c r="H40" s="136"/>
      <c r="I40" s="528"/>
      <c r="J40" s="529"/>
      <c r="K40" s="529"/>
      <c r="L40" s="618">
        <f t="shared" si="4"/>
        <v>0</v>
      </c>
      <c r="M40" s="537"/>
      <c r="N40" s="537"/>
      <c r="O40" s="537"/>
      <c r="P40" s="537"/>
      <c r="Q40" s="537"/>
      <c r="R40" s="537"/>
      <c r="S40" s="537"/>
      <c r="T40" s="537"/>
      <c r="U40" s="527">
        <f t="shared" si="0"/>
        <v>0</v>
      </c>
      <c r="V40" s="530">
        <v>10</v>
      </c>
      <c r="W40" s="530">
        <v>350</v>
      </c>
      <c r="X40" s="527">
        <f t="shared" si="1"/>
        <v>3500</v>
      </c>
      <c r="Y40" s="530">
        <v>20</v>
      </c>
      <c r="Z40" s="530">
        <v>1250</v>
      </c>
      <c r="AA40" s="527">
        <f t="shared" si="2"/>
        <v>25000</v>
      </c>
      <c r="AB40" s="531"/>
      <c r="AC40" s="531"/>
      <c r="AD40" s="527">
        <f t="shared" si="5"/>
        <v>0</v>
      </c>
      <c r="AE40" s="527"/>
      <c r="AF40" s="527"/>
      <c r="AG40" s="626"/>
      <c r="AH40" s="626"/>
      <c r="AI40" s="527">
        <f t="shared" si="3"/>
        <v>0</v>
      </c>
      <c r="AJ40" s="626"/>
      <c r="AK40" s="626"/>
      <c r="AL40" s="527">
        <f>AJ40*AK40</f>
        <v>0</v>
      </c>
      <c r="AM40" s="527"/>
      <c r="AN40" s="527">
        <f t="shared" si="6"/>
        <v>28500</v>
      </c>
      <c r="AO40" s="76"/>
      <c r="AP40" s="76"/>
      <c r="AQ40" s="76"/>
      <c r="AR40" s="76"/>
      <c r="AS40" s="76"/>
      <c r="AT40" s="619">
        <f t="shared" si="7"/>
        <v>28500</v>
      </c>
    </row>
    <row r="41" spans="1:46" s="536" customFormat="1" ht="57.75" customHeight="1">
      <c r="A41" s="413"/>
      <c r="B41" s="617"/>
      <c r="C41" s="996"/>
      <c r="D41" s="1000"/>
      <c r="E41" s="413" t="s">
        <v>124</v>
      </c>
      <c r="F41" s="136" t="s">
        <v>443</v>
      </c>
      <c r="G41" s="136"/>
      <c r="H41" s="136" t="s">
        <v>85</v>
      </c>
      <c r="I41" s="528"/>
      <c r="J41" s="621"/>
      <c r="K41" s="621"/>
      <c r="L41" s="618">
        <f t="shared" si="4"/>
        <v>0</v>
      </c>
      <c r="M41" s="537">
        <v>15</v>
      </c>
      <c r="N41" s="537">
        <v>2</v>
      </c>
      <c r="O41" s="622">
        <v>20</v>
      </c>
      <c r="P41" s="622">
        <v>350</v>
      </c>
      <c r="Q41" s="622">
        <v>25</v>
      </c>
      <c r="R41" s="622">
        <v>50</v>
      </c>
      <c r="S41" s="622">
        <v>10</v>
      </c>
      <c r="T41" s="622"/>
      <c r="U41" s="527">
        <f t="shared" si="0"/>
        <v>58500</v>
      </c>
      <c r="V41" s="627">
        <v>250</v>
      </c>
      <c r="W41" s="622">
        <v>350</v>
      </c>
      <c r="X41" s="527">
        <f t="shared" si="1"/>
        <v>87500</v>
      </c>
      <c r="Y41" s="627">
        <f>35+(19*10)</f>
        <v>225</v>
      </c>
      <c r="Z41" s="622">
        <v>1250</v>
      </c>
      <c r="AA41" s="527">
        <f t="shared" si="2"/>
        <v>281250</v>
      </c>
      <c r="AB41" s="623"/>
      <c r="AC41" s="623"/>
      <c r="AD41" s="527">
        <f t="shared" si="5"/>
        <v>0</v>
      </c>
      <c r="AE41" s="624"/>
      <c r="AF41" s="624"/>
      <c r="AG41" s="552"/>
      <c r="AH41" s="552"/>
      <c r="AI41" s="527">
        <f t="shared" si="3"/>
        <v>0</v>
      </c>
      <c r="AJ41" s="552"/>
      <c r="AK41" s="552"/>
      <c r="AL41" s="527">
        <f>AJ41*AK41</f>
        <v>0</v>
      </c>
      <c r="AM41" s="625"/>
      <c r="AN41" s="527">
        <f t="shared" si="6"/>
        <v>427250</v>
      </c>
      <c r="AO41" s="76"/>
      <c r="AP41" s="76"/>
      <c r="AQ41" s="76"/>
      <c r="AR41" s="76"/>
      <c r="AS41" s="76"/>
      <c r="AT41" s="619">
        <f t="shared" si="7"/>
        <v>427250</v>
      </c>
    </row>
    <row r="42" spans="1:46" s="536" customFormat="1" ht="24" customHeight="1">
      <c r="A42" s="413"/>
      <c r="B42" s="628"/>
      <c r="C42" s="629"/>
      <c r="D42" s="454"/>
      <c r="E42" s="454"/>
      <c r="F42" s="455"/>
      <c r="G42" s="455"/>
      <c r="H42" s="455"/>
      <c r="I42" s="539"/>
      <c r="J42" s="630"/>
      <c r="K42" s="630"/>
      <c r="L42" s="541">
        <f>SUM(L10:L41)</f>
        <v>259200</v>
      </c>
      <c r="M42" s="541"/>
      <c r="N42" s="541"/>
      <c r="O42" s="541"/>
      <c r="P42" s="541"/>
      <c r="Q42" s="541"/>
      <c r="R42" s="541"/>
      <c r="S42" s="541"/>
      <c r="T42" s="541"/>
      <c r="U42" s="541">
        <f>SUM(U10:U41)</f>
        <v>780425</v>
      </c>
      <c r="V42" s="541"/>
      <c r="W42" s="541"/>
      <c r="X42" s="541">
        <f>SUM(X10:X41)</f>
        <v>2163000</v>
      </c>
      <c r="Y42" s="541"/>
      <c r="Z42" s="541"/>
      <c r="AA42" s="541">
        <f>SUM(AA10:AA41)</f>
        <v>5637500</v>
      </c>
      <c r="AB42" s="541"/>
      <c r="AC42" s="541"/>
      <c r="AD42" s="541">
        <f aca="true" t="shared" si="9" ref="AD42:AT42">SUM(AD10:AD41)</f>
        <v>28500</v>
      </c>
      <c r="AE42" s="541">
        <f t="shared" si="9"/>
        <v>0</v>
      </c>
      <c r="AF42" s="541">
        <f t="shared" si="9"/>
        <v>250000</v>
      </c>
      <c r="AG42" s="643">
        <f t="shared" si="9"/>
        <v>0</v>
      </c>
      <c r="AH42" s="643">
        <f t="shared" si="9"/>
        <v>0</v>
      </c>
      <c r="AI42" s="541">
        <f t="shared" si="9"/>
        <v>0</v>
      </c>
      <c r="AJ42" s="643">
        <f t="shared" si="9"/>
        <v>0</v>
      </c>
      <c r="AK42" s="643">
        <f t="shared" si="9"/>
        <v>0</v>
      </c>
      <c r="AL42" s="541">
        <f t="shared" si="9"/>
        <v>0</v>
      </c>
      <c r="AM42" s="541">
        <f t="shared" si="9"/>
        <v>85400</v>
      </c>
      <c r="AN42" s="541">
        <f t="shared" si="9"/>
        <v>9204025</v>
      </c>
      <c r="AO42" s="541">
        <f t="shared" si="9"/>
        <v>8000</v>
      </c>
      <c r="AP42" s="541">
        <f t="shared" si="9"/>
        <v>450000</v>
      </c>
      <c r="AQ42" s="541">
        <f t="shared" si="9"/>
        <v>0</v>
      </c>
      <c r="AR42" s="541">
        <f t="shared" si="9"/>
        <v>300000</v>
      </c>
      <c r="AS42" s="541">
        <f t="shared" si="9"/>
        <v>0</v>
      </c>
      <c r="AT42" s="541">
        <f t="shared" si="9"/>
        <v>8446025</v>
      </c>
    </row>
    <row r="43" spans="1:46" s="532" customFormat="1" ht="32.25" customHeight="1" thickBot="1">
      <c r="A43" s="1084" t="s">
        <v>444</v>
      </c>
      <c r="B43" s="1085"/>
      <c r="C43" s="1085"/>
      <c r="D43" s="1085"/>
      <c r="E43" s="1085"/>
      <c r="F43" s="1085"/>
      <c r="G43" s="1085"/>
      <c r="H43" s="1085"/>
      <c r="I43" s="1085"/>
      <c r="J43" s="1085"/>
      <c r="K43" s="1085"/>
      <c r="L43" s="1085"/>
      <c r="M43" s="1085"/>
      <c r="N43" s="1085"/>
      <c r="O43" s="1085"/>
      <c r="P43" s="1085"/>
      <c r="Q43" s="1085"/>
      <c r="R43" s="1085"/>
      <c r="S43" s="1085"/>
      <c r="T43" s="1085"/>
      <c r="U43" s="1085"/>
      <c r="V43" s="1085"/>
      <c r="W43" s="1085"/>
      <c r="X43" s="1085"/>
      <c r="Y43" s="1085"/>
      <c r="Z43" s="1085"/>
      <c r="AA43" s="1085"/>
      <c r="AB43" s="1085"/>
      <c r="AC43" s="1085"/>
      <c r="AD43" s="1085"/>
      <c r="AE43" s="1085"/>
      <c r="AF43" s="1085"/>
      <c r="AG43" s="1085"/>
      <c r="AH43" s="1085"/>
      <c r="AI43" s="1085"/>
      <c r="AJ43" s="1085"/>
      <c r="AK43" s="1085"/>
      <c r="AL43" s="1085"/>
      <c r="AM43" s="1085"/>
      <c r="AN43" s="1085"/>
      <c r="AO43" s="1085"/>
      <c r="AP43" s="1085"/>
      <c r="AQ43" s="1085"/>
      <c r="AR43" s="1085"/>
      <c r="AS43" s="1085"/>
      <c r="AT43" s="1086"/>
    </row>
    <row r="44" spans="1:46" s="536" customFormat="1" ht="28.5" customHeight="1" thickBot="1">
      <c r="A44" s="1000">
        <v>3</v>
      </c>
      <c r="B44" s="1022"/>
      <c r="C44" s="1000">
        <v>2.1</v>
      </c>
      <c r="D44" s="1081" t="s">
        <v>445</v>
      </c>
      <c r="E44" s="413" t="s">
        <v>19</v>
      </c>
      <c r="F44" s="793" t="s">
        <v>446</v>
      </c>
      <c r="G44" s="791" t="s">
        <v>411</v>
      </c>
      <c r="H44" s="136"/>
      <c r="I44" s="528"/>
      <c r="J44" s="621"/>
      <c r="K44" s="621"/>
      <c r="L44" s="618">
        <f t="shared" si="4"/>
        <v>0</v>
      </c>
      <c r="M44" s="537"/>
      <c r="N44" s="537"/>
      <c r="O44" s="622"/>
      <c r="P44" s="622"/>
      <c r="Q44" s="622"/>
      <c r="R44" s="622"/>
      <c r="S44" s="622"/>
      <c r="T44" s="622"/>
      <c r="U44" s="527">
        <f t="shared" si="0"/>
        <v>0</v>
      </c>
      <c r="V44" s="622">
        <v>10</v>
      </c>
      <c r="W44" s="622">
        <v>350</v>
      </c>
      <c r="X44" s="527">
        <f t="shared" si="1"/>
        <v>3500</v>
      </c>
      <c r="Y44" s="622">
        <v>20</v>
      </c>
      <c r="Z44" s="622">
        <v>1200</v>
      </c>
      <c r="AA44" s="527">
        <f t="shared" si="2"/>
        <v>24000</v>
      </c>
      <c r="AB44" s="623"/>
      <c r="AC44" s="623"/>
      <c r="AD44" s="527">
        <f t="shared" si="5"/>
        <v>0</v>
      </c>
      <c r="AE44" s="624"/>
      <c r="AF44" s="624"/>
      <c r="AG44" s="552"/>
      <c r="AH44" s="552"/>
      <c r="AI44" s="527">
        <f t="shared" si="3"/>
        <v>0</v>
      </c>
      <c r="AJ44" s="552"/>
      <c r="AK44" s="552"/>
      <c r="AL44" s="527">
        <f>AJ44*AK44</f>
        <v>0</v>
      </c>
      <c r="AM44" s="625">
        <v>1000</v>
      </c>
      <c r="AN44" s="527">
        <f t="shared" si="6"/>
        <v>28500</v>
      </c>
      <c r="AO44" s="76"/>
      <c r="AP44" s="76"/>
      <c r="AQ44" s="76"/>
      <c r="AR44" s="76"/>
      <c r="AS44" s="76"/>
      <c r="AT44" s="619">
        <f t="shared" si="7"/>
        <v>28500</v>
      </c>
    </row>
    <row r="45" spans="1:46" ht="22.5">
      <c r="A45" s="1000"/>
      <c r="B45" s="1022"/>
      <c r="C45" s="1000"/>
      <c r="D45" s="1081"/>
      <c r="E45" s="413" t="s">
        <v>20</v>
      </c>
      <c r="F45" s="108" t="s">
        <v>447</v>
      </c>
      <c r="G45" s="791" t="s">
        <v>411</v>
      </c>
      <c r="H45" s="136"/>
      <c r="I45" s="528"/>
      <c r="J45" s="529"/>
      <c r="K45" s="529"/>
      <c r="L45" s="618">
        <f t="shared" si="4"/>
        <v>0</v>
      </c>
      <c r="M45" s="537"/>
      <c r="N45" s="537"/>
      <c r="O45" s="537"/>
      <c r="P45" s="537"/>
      <c r="Q45" s="537"/>
      <c r="R45" s="537"/>
      <c r="S45" s="537"/>
      <c r="T45" s="537"/>
      <c r="U45" s="527">
        <f t="shared" si="0"/>
        <v>0</v>
      </c>
      <c r="V45" s="530">
        <v>60</v>
      </c>
      <c r="W45" s="530">
        <v>350</v>
      </c>
      <c r="X45" s="527">
        <f t="shared" si="1"/>
        <v>21000</v>
      </c>
      <c r="Y45" s="530">
        <v>50</v>
      </c>
      <c r="Z45" s="530">
        <v>1200</v>
      </c>
      <c r="AA45" s="527">
        <f t="shared" si="2"/>
        <v>60000</v>
      </c>
      <c r="AB45" s="531"/>
      <c r="AC45" s="531"/>
      <c r="AD45" s="527">
        <f t="shared" si="5"/>
        <v>0</v>
      </c>
      <c r="AE45" s="527"/>
      <c r="AF45" s="527"/>
      <c r="AG45" s="626"/>
      <c r="AH45" s="626"/>
      <c r="AI45" s="527">
        <f t="shared" si="3"/>
        <v>0</v>
      </c>
      <c r="AJ45" s="626"/>
      <c r="AK45" s="626"/>
      <c r="AL45" s="527"/>
      <c r="AM45" s="527">
        <v>1500</v>
      </c>
      <c r="AN45" s="527">
        <f t="shared" si="6"/>
        <v>82500</v>
      </c>
      <c r="AO45" s="76"/>
      <c r="AP45" s="76"/>
      <c r="AQ45" s="76"/>
      <c r="AR45" s="76"/>
      <c r="AS45" s="76"/>
      <c r="AT45" s="619">
        <f t="shared" si="7"/>
        <v>82500</v>
      </c>
    </row>
    <row r="46" spans="1:46" ht="12" thickBot="1">
      <c r="A46" s="1000"/>
      <c r="B46" s="1022"/>
      <c r="C46" s="1000"/>
      <c r="D46" s="1081"/>
      <c r="E46" s="413" t="s">
        <v>49</v>
      </c>
      <c r="F46" s="108"/>
      <c r="G46" s="136"/>
      <c r="H46" s="136"/>
      <c r="I46" s="528"/>
      <c r="J46" s="529"/>
      <c r="K46" s="529"/>
      <c r="L46" s="618">
        <f t="shared" si="4"/>
        <v>0</v>
      </c>
      <c r="M46" s="537"/>
      <c r="N46" s="537"/>
      <c r="O46" s="537"/>
      <c r="P46" s="537"/>
      <c r="Q46" s="537"/>
      <c r="R46" s="537"/>
      <c r="S46" s="537"/>
      <c r="T46" s="537"/>
      <c r="U46" s="527">
        <f t="shared" si="0"/>
        <v>0</v>
      </c>
      <c r="V46" s="530"/>
      <c r="W46" s="530"/>
      <c r="X46" s="527">
        <f t="shared" si="1"/>
        <v>0</v>
      </c>
      <c r="Y46" s="530"/>
      <c r="Z46" s="530"/>
      <c r="AA46" s="527">
        <f t="shared" si="2"/>
        <v>0</v>
      </c>
      <c r="AB46" s="531"/>
      <c r="AC46" s="531"/>
      <c r="AD46" s="527">
        <f t="shared" si="5"/>
        <v>0</v>
      </c>
      <c r="AE46" s="527"/>
      <c r="AF46" s="527"/>
      <c r="AG46" s="626"/>
      <c r="AH46" s="626"/>
      <c r="AI46" s="527">
        <f t="shared" si="3"/>
        <v>0</v>
      </c>
      <c r="AJ46" s="626"/>
      <c r="AK46" s="626"/>
      <c r="AL46" s="527">
        <f>AJ46*AK46</f>
        <v>0</v>
      </c>
      <c r="AM46" s="527"/>
      <c r="AN46" s="527">
        <f t="shared" si="6"/>
        <v>0</v>
      </c>
      <c r="AO46" s="76"/>
      <c r="AP46" s="76"/>
      <c r="AQ46" s="76"/>
      <c r="AR46" s="76"/>
      <c r="AS46" s="76"/>
      <c r="AT46" s="619">
        <f t="shared" si="7"/>
        <v>0</v>
      </c>
    </row>
    <row r="47" spans="1:46" ht="75" customHeight="1" thickBot="1">
      <c r="A47" s="1000"/>
      <c r="B47" s="1022"/>
      <c r="C47" s="1000">
        <v>2.2</v>
      </c>
      <c r="D47" s="1081" t="s">
        <v>451</v>
      </c>
      <c r="E47" s="413" t="s">
        <v>18</v>
      </c>
      <c r="F47" s="793" t="s">
        <v>450</v>
      </c>
      <c r="G47" s="791" t="s">
        <v>411</v>
      </c>
      <c r="H47" s="136"/>
      <c r="I47" s="528"/>
      <c r="J47" s="529"/>
      <c r="K47" s="529"/>
      <c r="L47" s="618">
        <f t="shared" si="4"/>
        <v>0</v>
      </c>
      <c r="M47" s="537"/>
      <c r="N47" s="537"/>
      <c r="O47" s="537"/>
      <c r="P47" s="537"/>
      <c r="Q47" s="537"/>
      <c r="R47" s="537"/>
      <c r="S47" s="537"/>
      <c r="T47" s="537"/>
      <c r="U47" s="527">
        <f t="shared" si="0"/>
        <v>0</v>
      </c>
      <c r="V47" s="530">
        <v>20</v>
      </c>
      <c r="W47" s="530">
        <v>350</v>
      </c>
      <c r="X47" s="527">
        <f t="shared" si="1"/>
        <v>7000</v>
      </c>
      <c r="Y47" s="530">
        <v>20</v>
      </c>
      <c r="Z47" s="530">
        <v>1200</v>
      </c>
      <c r="AA47" s="527">
        <f t="shared" si="2"/>
        <v>24000</v>
      </c>
      <c r="AB47" s="531"/>
      <c r="AC47" s="531"/>
      <c r="AD47" s="527">
        <f t="shared" si="5"/>
        <v>0</v>
      </c>
      <c r="AE47" s="527"/>
      <c r="AF47" s="527"/>
      <c r="AG47" s="626"/>
      <c r="AH47" s="626"/>
      <c r="AI47" s="527">
        <f t="shared" si="3"/>
        <v>0</v>
      </c>
      <c r="AJ47" s="626"/>
      <c r="AK47" s="626"/>
      <c r="AL47" s="527">
        <f>AJ47*AK47</f>
        <v>0</v>
      </c>
      <c r="AM47" s="527">
        <v>2000</v>
      </c>
      <c r="AN47" s="527">
        <f t="shared" si="6"/>
        <v>33000</v>
      </c>
      <c r="AO47" s="76"/>
      <c r="AP47" s="76"/>
      <c r="AQ47" s="76"/>
      <c r="AR47" s="76"/>
      <c r="AS47" s="76"/>
      <c r="AT47" s="619">
        <f t="shared" si="7"/>
        <v>33000</v>
      </c>
    </row>
    <row r="48" spans="1:46" ht="51.75" customHeight="1" thickBot="1">
      <c r="A48" s="1000"/>
      <c r="B48" s="1022"/>
      <c r="C48" s="1000"/>
      <c r="D48" s="1081"/>
      <c r="E48" s="413" t="s">
        <v>21</v>
      </c>
      <c r="F48" s="108" t="s">
        <v>452</v>
      </c>
      <c r="G48" s="791" t="s">
        <v>411</v>
      </c>
      <c r="H48" s="136"/>
      <c r="I48" s="528"/>
      <c r="J48" s="529"/>
      <c r="K48" s="529"/>
      <c r="L48" s="618">
        <f t="shared" si="4"/>
        <v>0</v>
      </c>
      <c r="M48" s="537"/>
      <c r="N48" s="537"/>
      <c r="O48" s="537"/>
      <c r="P48" s="537"/>
      <c r="Q48" s="537"/>
      <c r="R48" s="537"/>
      <c r="S48" s="537"/>
      <c r="T48" s="537"/>
      <c r="U48" s="527">
        <f t="shared" si="0"/>
        <v>0</v>
      </c>
      <c r="V48" s="530">
        <v>2</v>
      </c>
      <c r="W48" s="530">
        <v>350</v>
      </c>
      <c r="X48" s="527">
        <f t="shared" si="1"/>
        <v>700</v>
      </c>
      <c r="Y48" s="530">
        <v>5</v>
      </c>
      <c r="Z48" s="530">
        <v>1200</v>
      </c>
      <c r="AA48" s="527">
        <f t="shared" si="2"/>
        <v>6000</v>
      </c>
      <c r="AB48" s="531"/>
      <c r="AC48" s="531"/>
      <c r="AD48" s="527">
        <f t="shared" si="5"/>
        <v>0</v>
      </c>
      <c r="AE48" s="527"/>
      <c r="AF48" s="527"/>
      <c r="AG48" s="626"/>
      <c r="AH48" s="626"/>
      <c r="AI48" s="527">
        <f t="shared" si="3"/>
        <v>0</v>
      </c>
      <c r="AJ48" s="626"/>
      <c r="AK48" s="626"/>
      <c r="AL48" s="527"/>
      <c r="AM48" s="527"/>
      <c r="AN48" s="527">
        <f t="shared" si="6"/>
        <v>6700</v>
      </c>
      <c r="AO48" s="76"/>
      <c r="AP48" s="76"/>
      <c r="AQ48" s="76"/>
      <c r="AR48" s="76"/>
      <c r="AS48" s="76"/>
      <c r="AT48" s="619">
        <f t="shared" si="7"/>
        <v>6700</v>
      </c>
    </row>
    <row r="49" spans="1:46" ht="42.75" customHeight="1" thickBot="1">
      <c r="A49" s="1000"/>
      <c r="B49" s="1022"/>
      <c r="C49" s="1000"/>
      <c r="D49" s="1081"/>
      <c r="E49" s="413" t="s">
        <v>50</v>
      </c>
      <c r="F49" s="108" t="s">
        <v>449</v>
      </c>
      <c r="G49" s="791" t="s">
        <v>411</v>
      </c>
      <c r="H49" s="136"/>
      <c r="I49" s="528"/>
      <c r="J49" s="529"/>
      <c r="K49" s="529"/>
      <c r="L49" s="618">
        <f t="shared" si="4"/>
        <v>0</v>
      </c>
      <c r="M49" s="537"/>
      <c r="N49" s="537"/>
      <c r="O49" s="537"/>
      <c r="P49" s="537"/>
      <c r="Q49" s="537"/>
      <c r="R49" s="537"/>
      <c r="S49" s="537"/>
      <c r="T49" s="537"/>
      <c r="U49" s="527">
        <f t="shared" si="0"/>
        <v>0</v>
      </c>
      <c r="V49" s="530">
        <v>5</v>
      </c>
      <c r="W49" s="530">
        <v>350</v>
      </c>
      <c r="X49" s="527">
        <f t="shared" si="1"/>
        <v>1750</v>
      </c>
      <c r="Y49" s="530">
        <v>10</v>
      </c>
      <c r="Z49" s="530">
        <v>1200</v>
      </c>
      <c r="AA49" s="527">
        <f t="shared" si="2"/>
        <v>12000</v>
      </c>
      <c r="AB49" s="531"/>
      <c r="AC49" s="531"/>
      <c r="AD49" s="527">
        <f t="shared" si="5"/>
        <v>0</v>
      </c>
      <c r="AE49" s="527"/>
      <c r="AF49" s="527"/>
      <c r="AG49" s="626"/>
      <c r="AH49" s="626"/>
      <c r="AI49" s="527">
        <f t="shared" si="3"/>
        <v>0</v>
      </c>
      <c r="AJ49" s="626"/>
      <c r="AK49" s="626"/>
      <c r="AL49" s="527">
        <f>AJ49*AK49</f>
        <v>0</v>
      </c>
      <c r="AM49" s="527">
        <v>1000</v>
      </c>
      <c r="AN49" s="527">
        <f t="shared" si="6"/>
        <v>14750</v>
      </c>
      <c r="AO49" s="76"/>
      <c r="AP49" s="76"/>
      <c r="AQ49" s="76"/>
      <c r="AR49" s="76"/>
      <c r="AS49" s="76"/>
      <c r="AT49" s="619">
        <f t="shared" si="7"/>
        <v>14750</v>
      </c>
    </row>
    <row r="50" spans="1:46" ht="46.5" customHeight="1">
      <c r="A50" s="1000"/>
      <c r="B50" s="1022"/>
      <c r="C50" s="1000">
        <v>2.3</v>
      </c>
      <c r="D50" s="1081" t="s">
        <v>453</v>
      </c>
      <c r="E50" s="413" t="s">
        <v>51</v>
      </c>
      <c r="F50" s="115" t="s">
        <v>448</v>
      </c>
      <c r="G50" s="791" t="s">
        <v>411</v>
      </c>
      <c r="H50" s="136"/>
      <c r="I50" s="528"/>
      <c r="J50" s="529"/>
      <c r="K50" s="529"/>
      <c r="L50" s="618">
        <f t="shared" si="4"/>
        <v>0</v>
      </c>
      <c r="M50" s="537"/>
      <c r="N50" s="537"/>
      <c r="O50" s="537"/>
      <c r="P50" s="537"/>
      <c r="Q50" s="537"/>
      <c r="R50" s="537"/>
      <c r="S50" s="537"/>
      <c r="T50" s="537"/>
      <c r="U50" s="527">
        <f t="shared" si="0"/>
        <v>0</v>
      </c>
      <c r="V50" s="530"/>
      <c r="W50" s="530"/>
      <c r="X50" s="527">
        <f t="shared" si="1"/>
        <v>0</v>
      </c>
      <c r="Y50" s="530"/>
      <c r="Z50" s="530"/>
      <c r="AA50" s="527">
        <f t="shared" si="2"/>
        <v>0</v>
      </c>
      <c r="AB50" s="531"/>
      <c r="AC50" s="531"/>
      <c r="AD50" s="527">
        <f t="shared" si="5"/>
        <v>0</v>
      </c>
      <c r="AE50" s="527"/>
      <c r="AF50" s="527"/>
      <c r="AG50" s="626"/>
      <c r="AH50" s="626"/>
      <c r="AI50" s="527">
        <f t="shared" si="3"/>
        <v>0</v>
      </c>
      <c r="AJ50" s="626"/>
      <c r="AK50" s="626"/>
      <c r="AL50" s="527">
        <f>AJ50*AK50</f>
        <v>0</v>
      </c>
      <c r="AM50" s="527">
        <v>7500</v>
      </c>
      <c r="AN50" s="527">
        <f t="shared" si="6"/>
        <v>7500</v>
      </c>
      <c r="AO50" s="76">
        <v>7500</v>
      </c>
      <c r="AP50" s="76"/>
      <c r="AQ50" s="76"/>
      <c r="AR50" s="76"/>
      <c r="AS50" s="76"/>
      <c r="AT50" s="619">
        <f t="shared" si="7"/>
        <v>0</v>
      </c>
    </row>
    <row r="51" spans="1:46" ht="27" customHeight="1" thickBot="1">
      <c r="A51" s="1000"/>
      <c r="B51" s="1022"/>
      <c r="C51" s="1000"/>
      <c r="D51" s="1081"/>
      <c r="E51" s="413" t="s">
        <v>86</v>
      </c>
      <c r="F51" s="136"/>
      <c r="G51" s="136"/>
      <c r="H51" s="136"/>
      <c r="I51" s="528"/>
      <c r="J51" s="529"/>
      <c r="K51" s="529"/>
      <c r="L51" s="618">
        <f t="shared" si="4"/>
        <v>0</v>
      </c>
      <c r="M51" s="537"/>
      <c r="N51" s="537"/>
      <c r="O51" s="537"/>
      <c r="P51" s="537"/>
      <c r="Q51" s="537"/>
      <c r="R51" s="537"/>
      <c r="S51" s="537"/>
      <c r="T51" s="537"/>
      <c r="U51" s="527">
        <f t="shared" si="0"/>
        <v>0</v>
      </c>
      <c r="V51" s="530"/>
      <c r="W51" s="530"/>
      <c r="X51" s="527">
        <f t="shared" si="1"/>
        <v>0</v>
      </c>
      <c r="Y51" s="530"/>
      <c r="Z51" s="530"/>
      <c r="AA51" s="527">
        <f t="shared" si="2"/>
        <v>0</v>
      </c>
      <c r="AB51" s="531"/>
      <c r="AC51" s="531"/>
      <c r="AD51" s="527">
        <f t="shared" si="5"/>
        <v>0</v>
      </c>
      <c r="AE51" s="527"/>
      <c r="AF51" s="527"/>
      <c r="AG51" s="626"/>
      <c r="AH51" s="626"/>
      <c r="AI51" s="527">
        <f t="shared" si="3"/>
        <v>0</v>
      </c>
      <c r="AJ51" s="626"/>
      <c r="AK51" s="626"/>
      <c r="AL51" s="527">
        <f>AJ51*AK51</f>
        <v>0</v>
      </c>
      <c r="AM51" s="527"/>
      <c r="AN51" s="527">
        <f t="shared" si="6"/>
        <v>0</v>
      </c>
      <c r="AO51" s="76"/>
      <c r="AP51" s="76"/>
      <c r="AQ51" s="76"/>
      <c r="AR51" s="76"/>
      <c r="AS51" s="76"/>
      <c r="AT51" s="619">
        <f t="shared" si="7"/>
        <v>0</v>
      </c>
    </row>
    <row r="52" spans="1:46" ht="42.75" customHeight="1" thickBot="1">
      <c r="A52" s="1000"/>
      <c r="B52" s="1022"/>
      <c r="C52" s="1000">
        <v>2.4</v>
      </c>
      <c r="D52" s="1081" t="s">
        <v>457</v>
      </c>
      <c r="E52" s="413" t="s">
        <v>53</v>
      </c>
      <c r="F52" s="136" t="s">
        <v>454</v>
      </c>
      <c r="G52" s="791" t="s">
        <v>411</v>
      </c>
      <c r="H52" s="136"/>
      <c r="I52" s="528"/>
      <c r="J52" s="529"/>
      <c r="K52" s="529"/>
      <c r="L52" s="618">
        <f t="shared" si="4"/>
        <v>0</v>
      </c>
      <c r="M52" s="537"/>
      <c r="N52" s="537"/>
      <c r="O52" s="537"/>
      <c r="P52" s="537"/>
      <c r="Q52" s="537"/>
      <c r="R52" s="537"/>
      <c r="S52" s="537"/>
      <c r="T52" s="537"/>
      <c r="U52" s="527">
        <f t="shared" si="0"/>
        <v>0</v>
      </c>
      <c r="V52" s="530"/>
      <c r="W52" s="530"/>
      <c r="X52" s="527">
        <f t="shared" si="1"/>
        <v>0</v>
      </c>
      <c r="Y52" s="530"/>
      <c r="Z52" s="530"/>
      <c r="AA52" s="527">
        <f t="shared" si="2"/>
        <v>0</v>
      </c>
      <c r="AB52" s="531"/>
      <c r="AC52" s="531"/>
      <c r="AD52" s="527">
        <f t="shared" si="5"/>
        <v>0</v>
      </c>
      <c r="AE52" s="527"/>
      <c r="AF52" s="527"/>
      <c r="AG52" s="626"/>
      <c r="AH52" s="626"/>
      <c r="AI52" s="527">
        <f t="shared" si="3"/>
        <v>0</v>
      </c>
      <c r="AJ52" s="626"/>
      <c r="AK52" s="626"/>
      <c r="AL52" s="527">
        <f>AJ52*AK52</f>
        <v>0</v>
      </c>
      <c r="AM52" s="527">
        <v>9000</v>
      </c>
      <c r="AN52" s="527">
        <f t="shared" si="6"/>
        <v>9000</v>
      </c>
      <c r="AO52" s="76"/>
      <c r="AP52" s="76"/>
      <c r="AQ52" s="76"/>
      <c r="AR52" s="76"/>
      <c r="AS52" s="76"/>
      <c r="AT52" s="619">
        <f t="shared" si="7"/>
        <v>9000</v>
      </c>
    </row>
    <row r="53" spans="1:46" ht="24" customHeight="1" thickBot="1">
      <c r="A53" s="1000"/>
      <c r="B53" s="1022"/>
      <c r="C53" s="1000"/>
      <c r="D53" s="1081"/>
      <c r="E53" s="413" t="s">
        <v>54</v>
      </c>
      <c r="F53" s="136" t="s">
        <v>455</v>
      </c>
      <c r="G53" s="791" t="s">
        <v>411</v>
      </c>
      <c r="H53" s="136"/>
      <c r="I53" s="528"/>
      <c r="J53" s="529"/>
      <c r="K53" s="529"/>
      <c r="L53" s="618">
        <f t="shared" si="4"/>
        <v>0</v>
      </c>
      <c r="M53" s="537"/>
      <c r="N53" s="537"/>
      <c r="O53" s="537"/>
      <c r="P53" s="537"/>
      <c r="Q53" s="537"/>
      <c r="R53" s="537"/>
      <c r="S53" s="537"/>
      <c r="T53" s="537"/>
      <c r="U53" s="527">
        <f t="shared" si="0"/>
        <v>0</v>
      </c>
      <c r="V53" s="530"/>
      <c r="W53" s="530"/>
      <c r="X53" s="527">
        <f t="shared" si="1"/>
        <v>0</v>
      </c>
      <c r="Y53" s="530"/>
      <c r="Z53" s="530"/>
      <c r="AA53" s="527">
        <f t="shared" si="2"/>
        <v>0</v>
      </c>
      <c r="AB53" s="531"/>
      <c r="AC53" s="531"/>
      <c r="AD53" s="527">
        <f t="shared" si="5"/>
        <v>0</v>
      </c>
      <c r="AE53" s="527"/>
      <c r="AF53" s="527"/>
      <c r="AG53" s="626"/>
      <c r="AH53" s="626"/>
      <c r="AI53" s="527">
        <f t="shared" si="3"/>
        <v>0</v>
      </c>
      <c r="AJ53" s="626"/>
      <c r="AK53" s="626"/>
      <c r="AL53" s="527"/>
      <c r="AM53" s="527"/>
      <c r="AN53" s="527">
        <f t="shared" si="6"/>
        <v>0</v>
      </c>
      <c r="AO53" s="76"/>
      <c r="AP53" s="76"/>
      <c r="AQ53" s="76"/>
      <c r="AR53" s="76"/>
      <c r="AS53" s="76"/>
      <c r="AT53" s="619">
        <f t="shared" si="7"/>
        <v>0</v>
      </c>
    </row>
    <row r="54" spans="1:46" ht="45.75" customHeight="1" thickBot="1">
      <c r="A54" s="1000"/>
      <c r="B54" s="1022"/>
      <c r="C54" s="1000"/>
      <c r="D54" s="1081"/>
      <c r="E54" s="413" t="s">
        <v>55</v>
      </c>
      <c r="F54" s="136" t="s">
        <v>456</v>
      </c>
      <c r="G54" s="791" t="s">
        <v>411</v>
      </c>
      <c r="H54" s="136"/>
      <c r="I54" s="528"/>
      <c r="J54" s="529"/>
      <c r="K54" s="529"/>
      <c r="L54" s="618">
        <f t="shared" si="4"/>
        <v>0</v>
      </c>
      <c r="M54" s="537"/>
      <c r="N54" s="537"/>
      <c r="O54" s="537"/>
      <c r="P54" s="537"/>
      <c r="Q54" s="537"/>
      <c r="R54" s="537"/>
      <c r="S54" s="537"/>
      <c r="T54" s="537"/>
      <c r="U54" s="527">
        <f t="shared" si="0"/>
        <v>0</v>
      </c>
      <c r="V54" s="530"/>
      <c r="W54" s="530"/>
      <c r="X54" s="527">
        <f t="shared" si="1"/>
        <v>0</v>
      </c>
      <c r="Y54" s="530"/>
      <c r="Z54" s="530"/>
      <c r="AA54" s="527">
        <f t="shared" si="2"/>
        <v>0</v>
      </c>
      <c r="AB54" s="531"/>
      <c r="AC54" s="531"/>
      <c r="AD54" s="527">
        <f t="shared" si="5"/>
        <v>0</v>
      </c>
      <c r="AE54" s="527"/>
      <c r="AF54" s="527"/>
      <c r="AG54" s="626"/>
      <c r="AH54" s="626"/>
      <c r="AI54" s="527">
        <f t="shared" si="3"/>
        <v>0</v>
      </c>
      <c r="AJ54" s="626"/>
      <c r="AK54" s="626"/>
      <c r="AL54" s="527"/>
      <c r="AM54" s="527"/>
      <c r="AN54" s="527">
        <f t="shared" si="6"/>
        <v>0</v>
      </c>
      <c r="AO54" s="76"/>
      <c r="AP54" s="76"/>
      <c r="AQ54" s="76"/>
      <c r="AR54" s="76"/>
      <c r="AS54" s="76"/>
      <c r="AT54" s="619">
        <f t="shared" si="7"/>
        <v>0</v>
      </c>
    </row>
    <row r="55" spans="1:46" ht="33.75" customHeight="1" thickBot="1">
      <c r="A55" s="1000"/>
      <c r="B55" s="1022"/>
      <c r="C55" s="1000"/>
      <c r="D55" s="1081"/>
      <c r="E55" s="413" t="s">
        <v>87</v>
      </c>
      <c r="F55" s="534" t="s">
        <v>458</v>
      </c>
      <c r="G55" s="791" t="s">
        <v>411</v>
      </c>
      <c r="H55" s="136"/>
      <c r="I55" s="528"/>
      <c r="J55" s="529"/>
      <c r="K55" s="529"/>
      <c r="L55" s="618">
        <f t="shared" si="4"/>
        <v>0</v>
      </c>
      <c r="M55" s="537"/>
      <c r="N55" s="537"/>
      <c r="O55" s="537"/>
      <c r="P55" s="537"/>
      <c r="Q55" s="537"/>
      <c r="R55" s="537"/>
      <c r="S55" s="537"/>
      <c r="T55" s="537"/>
      <c r="U55" s="527">
        <f t="shared" si="0"/>
        <v>0</v>
      </c>
      <c r="V55" s="530"/>
      <c r="W55" s="530"/>
      <c r="X55" s="527">
        <f t="shared" si="1"/>
        <v>0</v>
      </c>
      <c r="Y55" s="530"/>
      <c r="Z55" s="530"/>
      <c r="AA55" s="527">
        <f t="shared" si="2"/>
        <v>0</v>
      </c>
      <c r="AB55" s="531"/>
      <c r="AC55" s="531"/>
      <c r="AD55" s="527">
        <f t="shared" si="5"/>
        <v>0</v>
      </c>
      <c r="AE55" s="527"/>
      <c r="AF55" s="527"/>
      <c r="AG55" s="626"/>
      <c r="AH55" s="626"/>
      <c r="AI55" s="527">
        <f t="shared" si="3"/>
        <v>0</v>
      </c>
      <c r="AJ55" s="626"/>
      <c r="AK55" s="626"/>
      <c r="AL55" s="527">
        <f>AJ55*AK55</f>
        <v>0</v>
      </c>
      <c r="AM55" s="527">
        <f>(12*1*500)+(12*2*1*80)+(12*1*2*50)</f>
        <v>9120</v>
      </c>
      <c r="AN55" s="527">
        <f t="shared" si="6"/>
        <v>9120</v>
      </c>
      <c r="AO55" s="76"/>
      <c r="AP55" s="76"/>
      <c r="AQ55" s="76"/>
      <c r="AR55" s="76"/>
      <c r="AS55" s="76"/>
      <c r="AT55" s="619">
        <f t="shared" si="7"/>
        <v>9120</v>
      </c>
    </row>
    <row r="56" spans="1:46" ht="45" customHeight="1">
      <c r="A56" s="1000"/>
      <c r="B56" s="1022"/>
      <c r="C56" s="1000">
        <v>2.5</v>
      </c>
      <c r="D56" s="1081" t="s">
        <v>460</v>
      </c>
      <c r="E56" s="413" t="s">
        <v>88</v>
      </c>
      <c r="F56" s="794" t="s">
        <v>505</v>
      </c>
      <c r="G56" s="791" t="s">
        <v>411</v>
      </c>
      <c r="H56" s="136"/>
      <c r="I56" s="528"/>
      <c r="J56" s="529"/>
      <c r="K56" s="529"/>
      <c r="L56" s="618">
        <f t="shared" si="4"/>
        <v>0</v>
      </c>
      <c r="M56" s="537"/>
      <c r="N56" s="537"/>
      <c r="O56" s="537"/>
      <c r="P56" s="537"/>
      <c r="Q56" s="537"/>
      <c r="R56" s="537"/>
      <c r="S56" s="537"/>
      <c r="T56" s="537"/>
      <c r="U56" s="527">
        <f t="shared" si="0"/>
        <v>0</v>
      </c>
      <c r="V56" s="530">
        <v>40</v>
      </c>
      <c r="W56" s="530">
        <v>350</v>
      </c>
      <c r="X56" s="527">
        <f t="shared" si="1"/>
        <v>14000</v>
      </c>
      <c r="Y56" s="530">
        <v>60</v>
      </c>
      <c r="Z56" s="530">
        <v>1200</v>
      </c>
      <c r="AA56" s="527">
        <f t="shared" si="2"/>
        <v>72000</v>
      </c>
      <c r="AB56" s="531"/>
      <c r="AC56" s="531"/>
      <c r="AD56" s="527">
        <f t="shared" si="5"/>
        <v>0</v>
      </c>
      <c r="AE56" s="527"/>
      <c r="AF56" s="527"/>
      <c r="AG56" s="626"/>
      <c r="AH56" s="626"/>
      <c r="AI56" s="527">
        <f t="shared" si="3"/>
        <v>0</v>
      </c>
      <c r="AJ56" s="626"/>
      <c r="AK56" s="626"/>
      <c r="AL56" s="527"/>
      <c r="AM56" s="527">
        <v>2000</v>
      </c>
      <c r="AN56" s="527">
        <f t="shared" si="6"/>
        <v>88000</v>
      </c>
      <c r="AO56" s="76"/>
      <c r="AP56" s="76"/>
      <c r="AQ56" s="76"/>
      <c r="AR56" s="76"/>
      <c r="AS56" s="76"/>
      <c r="AT56" s="619">
        <f t="shared" si="7"/>
        <v>88000</v>
      </c>
    </row>
    <row r="57" spans="1:46" ht="39" customHeight="1" thickBot="1">
      <c r="A57" s="1000"/>
      <c r="B57" s="1022"/>
      <c r="C57" s="1000"/>
      <c r="D57" s="1081"/>
      <c r="E57" s="413" t="s">
        <v>89</v>
      </c>
      <c r="F57" s="534" t="s">
        <v>459</v>
      </c>
      <c r="G57" s="795" t="s">
        <v>470</v>
      </c>
      <c r="H57" s="136"/>
      <c r="I57" s="528"/>
      <c r="J57" s="529"/>
      <c r="K57" s="529"/>
      <c r="L57" s="618">
        <f t="shared" si="4"/>
        <v>0</v>
      </c>
      <c r="M57" s="537"/>
      <c r="N57" s="537"/>
      <c r="O57" s="537"/>
      <c r="P57" s="537"/>
      <c r="Q57" s="537"/>
      <c r="R57" s="537"/>
      <c r="S57" s="537"/>
      <c r="T57" s="537"/>
      <c r="U57" s="527">
        <f t="shared" si="0"/>
        <v>0</v>
      </c>
      <c r="V57" s="530"/>
      <c r="W57" s="530"/>
      <c r="X57" s="527">
        <f t="shared" si="1"/>
        <v>0</v>
      </c>
      <c r="Y57" s="530"/>
      <c r="Z57" s="530"/>
      <c r="AA57" s="527">
        <f t="shared" si="2"/>
        <v>0</v>
      </c>
      <c r="AB57" s="531"/>
      <c r="AC57" s="531"/>
      <c r="AD57" s="527">
        <f t="shared" si="5"/>
        <v>0</v>
      </c>
      <c r="AE57" s="527"/>
      <c r="AF57" s="527"/>
      <c r="AG57" s="626"/>
      <c r="AH57" s="626"/>
      <c r="AI57" s="527">
        <f t="shared" si="3"/>
        <v>0</v>
      </c>
      <c r="AJ57" s="626"/>
      <c r="AK57" s="626"/>
      <c r="AL57" s="527"/>
      <c r="AM57" s="527"/>
      <c r="AN57" s="527">
        <f t="shared" si="6"/>
        <v>0</v>
      </c>
      <c r="AO57" s="76"/>
      <c r="AP57" s="76"/>
      <c r="AQ57" s="76"/>
      <c r="AR57" s="76"/>
      <c r="AS57" s="76"/>
      <c r="AT57" s="619">
        <f t="shared" si="7"/>
        <v>0</v>
      </c>
    </row>
    <row r="58" spans="1:46" ht="51.75" customHeight="1" thickBot="1">
      <c r="A58" s="1000"/>
      <c r="B58" s="1022"/>
      <c r="C58" s="1000"/>
      <c r="D58" s="1081"/>
      <c r="E58" s="413" t="s">
        <v>90</v>
      </c>
      <c r="F58" s="534" t="s">
        <v>461</v>
      </c>
      <c r="G58" s="791" t="s">
        <v>411</v>
      </c>
      <c r="H58" s="136"/>
      <c r="I58" s="528"/>
      <c r="J58" s="529"/>
      <c r="K58" s="529"/>
      <c r="L58" s="618">
        <f t="shared" si="4"/>
        <v>0</v>
      </c>
      <c r="M58" s="537"/>
      <c r="N58" s="537"/>
      <c r="O58" s="537"/>
      <c r="P58" s="537"/>
      <c r="Q58" s="537"/>
      <c r="R58" s="537"/>
      <c r="S58" s="537"/>
      <c r="T58" s="537"/>
      <c r="U58" s="527">
        <f t="shared" si="0"/>
        <v>0</v>
      </c>
      <c r="V58" s="530">
        <v>100</v>
      </c>
      <c r="W58" s="530">
        <v>350</v>
      </c>
      <c r="X58" s="527">
        <f t="shared" si="1"/>
        <v>35000</v>
      </c>
      <c r="Y58" s="530">
        <v>120</v>
      </c>
      <c r="Z58" s="530">
        <v>1200</v>
      </c>
      <c r="AA58" s="527">
        <f t="shared" si="2"/>
        <v>144000</v>
      </c>
      <c r="AB58" s="531"/>
      <c r="AC58" s="531"/>
      <c r="AD58" s="527">
        <f t="shared" si="5"/>
        <v>0</v>
      </c>
      <c r="AE58" s="527"/>
      <c r="AF58" s="527"/>
      <c r="AG58" s="626"/>
      <c r="AH58" s="626"/>
      <c r="AI58" s="527">
        <f t="shared" si="3"/>
        <v>0</v>
      </c>
      <c r="AJ58" s="626"/>
      <c r="AK58" s="626"/>
      <c r="AL58" s="527"/>
      <c r="AM58" s="527">
        <v>5000</v>
      </c>
      <c r="AN58" s="527">
        <f t="shared" si="6"/>
        <v>184000</v>
      </c>
      <c r="AO58" s="76"/>
      <c r="AP58" s="76"/>
      <c r="AQ58" s="76"/>
      <c r="AR58" s="76"/>
      <c r="AS58" s="76"/>
      <c r="AT58" s="619">
        <f t="shared" si="7"/>
        <v>184000</v>
      </c>
    </row>
    <row r="59" spans="1:46" ht="24.75" customHeight="1" thickBot="1">
      <c r="A59" s="1000"/>
      <c r="B59" s="1022"/>
      <c r="C59" s="1000">
        <v>2.6</v>
      </c>
      <c r="D59" s="1081" t="s">
        <v>462</v>
      </c>
      <c r="E59" s="413" t="s">
        <v>91</v>
      </c>
      <c r="F59" s="19" t="s">
        <v>464</v>
      </c>
      <c r="G59" s="791" t="s">
        <v>466</v>
      </c>
      <c r="H59" s="136"/>
      <c r="I59" s="528"/>
      <c r="J59" s="529"/>
      <c r="K59" s="529"/>
      <c r="L59" s="618">
        <f t="shared" si="4"/>
        <v>0</v>
      </c>
      <c r="M59" s="537">
        <v>1</v>
      </c>
      <c r="N59" s="537">
        <v>3</v>
      </c>
      <c r="O59" s="537">
        <v>15</v>
      </c>
      <c r="P59" s="537">
        <v>300</v>
      </c>
      <c r="Q59" s="537">
        <v>25</v>
      </c>
      <c r="R59" s="537"/>
      <c r="S59" s="537">
        <v>20</v>
      </c>
      <c r="T59" s="537"/>
      <c r="U59" s="527">
        <f t="shared" si="0"/>
        <v>2325</v>
      </c>
      <c r="V59" s="530">
        <v>5</v>
      </c>
      <c r="W59" s="530">
        <v>350</v>
      </c>
      <c r="X59" s="527">
        <f t="shared" si="1"/>
        <v>1750</v>
      </c>
      <c r="Y59" s="530">
        <v>5</v>
      </c>
      <c r="Z59" s="530">
        <v>350</v>
      </c>
      <c r="AA59" s="527">
        <f t="shared" si="2"/>
        <v>1750</v>
      </c>
      <c r="AB59" s="531"/>
      <c r="AC59" s="531"/>
      <c r="AD59" s="527">
        <f t="shared" si="5"/>
        <v>0</v>
      </c>
      <c r="AE59" s="527"/>
      <c r="AF59" s="527"/>
      <c r="AG59" s="626"/>
      <c r="AH59" s="626"/>
      <c r="AI59" s="527">
        <f t="shared" si="3"/>
        <v>0</v>
      </c>
      <c r="AJ59" s="626"/>
      <c r="AK59" s="626"/>
      <c r="AL59" s="527">
        <f>AJ59*AK59</f>
        <v>0</v>
      </c>
      <c r="AM59" s="527">
        <v>25000</v>
      </c>
      <c r="AN59" s="527">
        <f t="shared" si="6"/>
        <v>30825</v>
      </c>
      <c r="AO59" s="76"/>
      <c r="AP59" s="76"/>
      <c r="AQ59" s="76"/>
      <c r="AR59" s="76"/>
      <c r="AS59" s="76"/>
      <c r="AT59" s="619">
        <f t="shared" si="7"/>
        <v>30825</v>
      </c>
    </row>
    <row r="60" spans="1:46" ht="24.75" customHeight="1" thickBot="1">
      <c r="A60" s="1000"/>
      <c r="B60" s="1022"/>
      <c r="C60" s="1000"/>
      <c r="D60" s="1081"/>
      <c r="E60" s="413" t="s">
        <v>92</v>
      </c>
      <c r="F60" s="19" t="s">
        <v>465</v>
      </c>
      <c r="G60" s="791" t="s">
        <v>466</v>
      </c>
      <c r="H60" s="136"/>
      <c r="I60" s="528"/>
      <c r="J60" s="529"/>
      <c r="K60" s="529"/>
      <c r="L60" s="618">
        <f t="shared" si="4"/>
        <v>0</v>
      </c>
      <c r="M60" s="537">
        <v>2</v>
      </c>
      <c r="N60" s="537">
        <v>3</v>
      </c>
      <c r="O60" s="537">
        <v>20</v>
      </c>
      <c r="P60" s="537"/>
      <c r="Q60" s="537">
        <v>25</v>
      </c>
      <c r="R60" s="537"/>
      <c r="S60" s="537">
        <v>20</v>
      </c>
      <c r="T60" s="537">
        <v>65</v>
      </c>
      <c r="U60" s="527">
        <f t="shared" si="0"/>
        <v>4190</v>
      </c>
      <c r="V60" s="530"/>
      <c r="W60" s="530"/>
      <c r="X60" s="527">
        <f t="shared" si="1"/>
        <v>0</v>
      </c>
      <c r="Y60" s="530"/>
      <c r="Z60" s="530"/>
      <c r="AA60" s="527">
        <f t="shared" si="2"/>
        <v>0</v>
      </c>
      <c r="AB60" s="531"/>
      <c r="AC60" s="531"/>
      <c r="AD60" s="527">
        <f t="shared" si="5"/>
        <v>0</v>
      </c>
      <c r="AE60" s="527"/>
      <c r="AF60" s="527"/>
      <c r="AG60" s="626"/>
      <c r="AH60" s="626"/>
      <c r="AI60" s="527">
        <f t="shared" si="3"/>
        <v>0</v>
      </c>
      <c r="AJ60" s="626"/>
      <c r="AK60" s="626"/>
      <c r="AL60" s="527"/>
      <c r="AM60" s="527">
        <v>1000</v>
      </c>
      <c r="AN60" s="527">
        <f t="shared" si="6"/>
        <v>5190</v>
      </c>
      <c r="AO60" s="76"/>
      <c r="AP60" s="76"/>
      <c r="AQ60" s="76"/>
      <c r="AR60" s="76"/>
      <c r="AS60" s="76"/>
      <c r="AT60" s="619">
        <f t="shared" si="7"/>
        <v>5190</v>
      </c>
    </row>
    <row r="61" spans="1:46" ht="27" customHeight="1">
      <c r="A61" s="1000"/>
      <c r="B61" s="1022"/>
      <c r="C61" s="1000"/>
      <c r="D61" s="1081"/>
      <c r="E61" s="413" t="s">
        <v>93</v>
      </c>
      <c r="F61" s="19" t="s">
        <v>463</v>
      </c>
      <c r="G61" s="791" t="s">
        <v>466</v>
      </c>
      <c r="H61" s="136"/>
      <c r="I61" s="528"/>
      <c r="J61" s="621"/>
      <c r="K61" s="621"/>
      <c r="L61" s="618">
        <f t="shared" si="4"/>
        <v>0</v>
      </c>
      <c r="M61" s="537">
        <v>1</v>
      </c>
      <c r="N61" s="537">
        <v>3</v>
      </c>
      <c r="O61" s="622">
        <v>20</v>
      </c>
      <c r="P61" s="537"/>
      <c r="Q61" s="537">
        <v>25</v>
      </c>
      <c r="R61" s="622"/>
      <c r="S61" s="537">
        <v>20</v>
      </c>
      <c r="T61" s="537">
        <v>65</v>
      </c>
      <c r="U61" s="527">
        <f t="shared" si="0"/>
        <v>2095</v>
      </c>
      <c r="V61" s="622"/>
      <c r="W61" s="622"/>
      <c r="X61" s="527">
        <f t="shared" si="1"/>
        <v>0</v>
      </c>
      <c r="Y61" s="622"/>
      <c r="Z61" s="622"/>
      <c r="AA61" s="527">
        <f t="shared" si="2"/>
        <v>0</v>
      </c>
      <c r="AB61" s="623"/>
      <c r="AC61" s="623"/>
      <c r="AD61" s="527">
        <f t="shared" si="5"/>
        <v>0</v>
      </c>
      <c r="AE61" s="624"/>
      <c r="AF61" s="624"/>
      <c r="AG61" s="552"/>
      <c r="AH61" s="552"/>
      <c r="AI61" s="527">
        <f t="shared" si="3"/>
        <v>0</v>
      </c>
      <c r="AJ61" s="626"/>
      <c r="AK61" s="626"/>
      <c r="AL61" s="527">
        <f>AJ61*AK61</f>
        <v>0</v>
      </c>
      <c r="AM61" s="625">
        <v>1000</v>
      </c>
      <c r="AN61" s="527">
        <f t="shared" si="6"/>
        <v>3095</v>
      </c>
      <c r="AO61" s="76"/>
      <c r="AP61" s="76"/>
      <c r="AQ61" s="76"/>
      <c r="AR61" s="76"/>
      <c r="AS61" s="76"/>
      <c r="AT61" s="619">
        <f t="shared" si="7"/>
        <v>3095</v>
      </c>
    </row>
    <row r="62" spans="1:46" ht="46.5" customHeight="1">
      <c r="A62" s="1000"/>
      <c r="B62" s="1022"/>
      <c r="C62" s="1000">
        <v>2.7</v>
      </c>
      <c r="D62" s="1081" t="s">
        <v>467</v>
      </c>
      <c r="E62" s="413" t="s">
        <v>94</v>
      </c>
      <c r="F62" s="136" t="s">
        <v>504</v>
      </c>
      <c r="G62" s="795" t="s">
        <v>470</v>
      </c>
      <c r="H62" s="136"/>
      <c r="I62" s="528"/>
      <c r="J62" s="529"/>
      <c r="K62" s="529"/>
      <c r="L62" s="618">
        <f t="shared" si="4"/>
        <v>0</v>
      </c>
      <c r="M62" s="537"/>
      <c r="N62" s="537"/>
      <c r="O62" s="537"/>
      <c r="P62" s="537"/>
      <c r="Q62" s="537"/>
      <c r="R62" s="537"/>
      <c r="S62" s="537"/>
      <c r="T62" s="537"/>
      <c r="U62" s="527">
        <f t="shared" si="0"/>
        <v>0</v>
      </c>
      <c r="V62" s="530"/>
      <c r="W62" s="530"/>
      <c r="X62" s="527">
        <f t="shared" si="1"/>
        <v>0</v>
      </c>
      <c r="Y62" s="530"/>
      <c r="Z62" s="530"/>
      <c r="AA62" s="527">
        <f t="shared" si="2"/>
        <v>0</v>
      </c>
      <c r="AB62" s="531"/>
      <c r="AC62" s="531"/>
      <c r="AD62" s="527">
        <f t="shared" si="5"/>
        <v>0</v>
      </c>
      <c r="AE62" s="527"/>
      <c r="AF62" s="527"/>
      <c r="AG62" s="626"/>
      <c r="AH62" s="626"/>
      <c r="AI62" s="527">
        <f t="shared" si="3"/>
        <v>0</v>
      </c>
      <c r="AJ62" s="626"/>
      <c r="AK62" s="626"/>
      <c r="AL62" s="527">
        <f>AJ62*AK62</f>
        <v>0</v>
      </c>
      <c r="AM62" s="527">
        <v>25000</v>
      </c>
      <c r="AN62" s="527">
        <f t="shared" si="6"/>
        <v>25000</v>
      </c>
      <c r="AO62" s="76"/>
      <c r="AP62" s="76"/>
      <c r="AQ62" s="76"/>
      <c r="AR62" s="76"/>
      <c r="AS62" s="76"/>
      <c r="AT62" s="619">
        <f t="shared" si="7"/>
        <v>25000</v>
      </c>
    </row>
    <row r="63" spans="1:46" ht="79.5" customHeight="1">
      <c r="A63" s="1000"/>
      <c r="B63" s="1022"/>
      <c r="C63" s="1000"/>
      <c r="D63" s="1081"/>
      <c r="E63" s="413" t="s">
        <v>95</v>
      </c>
      <c r="F63" s="136" t="s">
        <v>468</v>
      </c>
      <c r="G63" s="136" t="s">
        <v>469</v>
      </c>
      <c r="H63" s="136"/>
      <c r="I63" s="528"/>
      <c r="J63" s="621"/>
      <c r="K63" s="621"/>
      <c r="L63" s="618">
        <f t="shared" si="4"/>
        <v>0</v>
      </c>
      <c r="M63" s="537"/>
      <c r="N63" s="537"/>
      <c r="O63" s="622"/>
      <c r="P63" s="622"/>
      <c r="Q63" s="622"/>
      <c r="R63" s="622"/>
      <c r="S63" s="622"/>
      <c r="T63" s="622"/>
      <c r="U63" s="527">
        <f t="shared" si="0"/>
        <v>0</v>
      </c>
      <c r="V63" s="622">
        <f>19*2*20</f>
        <v>760</v>
      </c>
      <c r="W63" s="622">
        <v>250</v>
      </c>
      <c r="X63" s="527">
        <f t="shared" si="1"/>
        <v>190000</v>
      </c>
      <c r="Y63" s="622"/>
      <c r="Z63" s="622"/>
      <c r="AA63" s="527">
        <f t="shared" si="2"/>
        <v>0</v>
      </c>
      <c r="AB63" s="623"/>
      <c r="AC63" s="623"/>
      <c r="AD63" s="527">
        <f t="shared" si="5"/>
        <v>0</v>
      </c>
      <c r="AE63" s="624"/>
      <c r="AF63" s="624"/>
      <c r="AG63" s="552"/>
      <c r="AH63" s="552"/>
      <c r="AI63" s="527">
        <f t="shared" si="3"/>
        <v>0</v>
      </c>
      <c r="AJ63" s="626"/>
      <c r="AK63" s="626"/>
      <c r="AL63" s="527">
        <f>AJ63*AK63</f>
        <v>0</v>
      </c>
      <c r="AM63" s="625"/>
      <c r="AN63" s="527">
        <f t="shared" si="6"/>
        <v>190000</v>
      </c>
      <c r="AO63" s="76"/>
      <c r="AP63" s="76"/>
      <c r="AQ63" s="76"/>
      <c r="AR63" s="76"/>
      <c r="AS63" s="76"/>
      <c r="AT63" s="619">
        <f t="shared" si="7"/>
        <v>190000</v>
      </c>
    </row>
    <row r="64" spans="1:46" s="24" customFormat="1" ht="27.75" customHeight="1">
      <c r="A64" s="571"/>
      <c r="B64" s="631"/>
      <c r="C64" s="1088" t="s">
        <v>471</v>
      </c>
      <c r="D64" s="1088"/>
      <c r="E64" s="1088"/>
      <c r="F64" s="1088"/>
      <c r="G64" s="632"/>
      <c r="H64" s="632"/>
      <c r="I64" s="633">
        <f>SUM(I43:I63)</f>
        <v>0</v>
      </c>
      <c r="J64" s="633">
        <f>SUM(J43:J63)</f>
        <v>0</v>
      </c>
      <c r="K64" s="633">
        <f>SUM(K43:K63)</f>
        <v>0</v>
      </c>
      <c r="L64" s="633">
        <f>SUM(L43:L63)</f>
        <v>0</v>
      </c>
      <c r="M64" s="633"/>
      <c r="N64" s="633"/>
      <c r="O64" s="633"/>
      <c r="P64" s="633"/>
      <c r="Q64" s="633"/>
      <c r="R64" s="633"/>
      <c r="S64" s="633"/>
      <c r="T64" s="633"/>
      <c r="U64" s="633">
        <f>SUM(U43:U63)</f>
        <v>8610</v>
      </c>
      <c r="V64" s="633"/>
      <c r="W64" s="633"/>
      <c r="X64" s="633">
        <f>SUM(X43:X63)</f>
        <v>274700</v>
      </c>
      <c r="Y64" s="633"/>
      <c r="Z64" s="633"/>
      <c r="AA64" s="633">
        <f aca="true" t="shared" si="10" ref="AA64:AT64">SUM(AA43:AA63)</f>
        <v>343750</v>
      </c>
      <c r="AB64" s="633">
        <f t="shared" si="10"/>
        <v>0</v>
      </c>
      <c r="AC64" s="633">
        <f t="shared" si="10"/>
        <v>0</v>
      </c>
      <c r="AD64" s="633">
        <f t="shared" si="10"/>
        <v>0</v>
      </c>
      <c r="AE64" s="633">
        <f t="shared" si="10"/>
        <v>0</v>
      </c>
      <c r="AF64" s="633">
        <f t="shared" si="10"/>
        <v>0</v>
      </c>
      <c r="AG64" s="196">
        <f t="shared" si="10"/>
        <v>0</v>
      </c>
      <c r="AH64" s="196">
        <f t="shared" si="10"/>
        <v>0</v>
      </c>
      <c r="AI64" s="633">
        <f t="shared" si="10"/>
        <v>0</v>
      </c>
      <c r="AJ64" s="196">
        <f t="shared" si="10"/>
        <v>0</v>
      </c>
      <c r="AK64" s="196">
        <f t="shared" si="10"/>
        <v>0</v>
      </c>
      <c r="AL64" s="633">
        <f t="shared" si="10"/>
        <v>0</v>
      </c>
      <c r="AM64" s="633">
        <f t="shared" si="10"/>
        <v>90120</v>
      </c>
      <c r="AN64" s="633">
        <f t="shared" si="10"/>
        <v>717180</v>
      </c>
      <c r="AO64" s="633">
        <f t="shared" si="10"/>
        <v>7500</v>
      </c>
      <c r="AP64" s="633">
        <f t="shared" si="10"/>
        <v>0</v>
      </c>
      <c r="AQ64" s="633">
        <f t="shared" si="10"/>
        <v>0</v>
      </c>
      <c r="AR64" s="633">
        <f t="shared" si="10"/>
        <v>0</v>
      </c>
      <c r="AS64" s="633">
        <f t="shared" si="10"/>
        <v>0</v>
      </c>
      <c r="AT64" s="633">
        <f t="shared" si="10"/>
        <v>709680</v>
      </c>
    </row>
    <row r="65" spans="1:46" ht="36.75" customHeight="1">
      <c r="A65" s="1084" t="s">
        <v>472</v>
      </c>
      <c r="B65" s="1085"/>
      <c r="C65" s="1085"/>
      <c r="D65" s="1085"/>
      <c r="E65" s="1085"/>
      <c r="F65" s="1085"/>
      <c r="G65" s="1085"/>
      <c r="H65" s="1085"/>
      <c r="I65" s="1085"/>
      <c r="J65" s="1085"/>
      <c r="K65" s="1085"/>
      <c r="L65" s="1085"/>
      <c r="M65" s="1085"/>
      <c r="N65" s="1085"/>
      <c r="O65" s="1085"/>
      <c r="P65" s="1085"/>
      <c r="Q65" s="1085"/>
      <c r="R65" s="1085"/>
      <c r="S65" s="1085"/>
      <c r="T65" s="1085"/>
      <c r="U65" s="1085"/>
      <c r="V65" s="1085"/>
      <c r="W65" s="1085"/>
      <c r="X65" s="1085"/>
      <c r="Y65" s="1085"/>
      <c r="Z65" s="1085"/>
      <c r="AA65" s="1085"/>
      <c r="AB65" s="1085"/>
      <c r="AC65" s="1085"/>
      <c r="AD65" s="1085"/>
      <c r="AE65" s="1085"/>
      <c r="AF65" s="1085"/>
      <c r="AG65" s="1085"/>
      <c r="AH65" s="1085"/>
      <c r="AI65" s="1085"/>
      <c r="AJ65" s="1085"/>
      <c r="AK65" s="1085"/>
      <c r="AL65" s="1085"/>
      <c r="AM65" s="1085"/>
      <c r="AN65" s="1085"/>
      <c r="AO65" s="1085"/>
      <c r="AP65" s="1085"/>
      <c r="AQ65" s="1085"/>
      <c r="AR65" s="1085"/>
      <c r="AS65" s="1085"/>
      <c r="AT65" s="1086"/>
    </row>
    <row r="66" spans="1:46" ht="60" customHeight="1">
      <c r="A66" s="1000">
        <v>5</v>
      </c>
      <c r="B66" s="1087"/>
      <c r="C66" s="1000">
        <v>3.1</v>
      </c>
      <c r="D66" s="1081" t="s">
        <v>473</v>
      </c>
      <c r="E66" s="413" t="s">
        <v>22</v>
      </c>
      <c r="F66" s="136" t="s">
        <v>474</v>
      </c>
      <c r="G66" s="136"/>
      <c r="H66" s="1000" t="s">
        <v>96</v>
      </c>
      <c r="I66" s="528"/>
      <c r="J66" s="529"/>
      <c r="K66" s="529"/>
      <c r="L66" s="618">
        <f aca="true" t="shared" si="11" ref="L66:L86">I66*J66*K66</f>
        <v>0</v>
      </c>
      <c r="M66" s="537"/>
      <c r="N66" s="537"/>
      <c r="O66" s="537"/>
      <c r="P66" s="537"/>
      <c r="Q66" s="537"/>
      <c r="R66" s="537"/>
      <c r="S66" s="537"/>
      <c r="T66" s="537"/>
      <c r="U66" s="527">
        <f t="shared" si="0"/>
        <v>0</v>
      </c>
      <c r="V66" s="530">
        <v>30</v>
      </c>
      <c r="W66" s="530">
        <v>350</v>
      </c>
      <c r="X66" s="527">
        <f t="shared" si="1"/>
        <v>10500</v>
      </c>
      <c r="Y66" s="530">
        <f>5+10+20+5</f>
        <v>40</v>
      </c>
      <c r="Z66" s="530">
        <v>1250</v>
      </c>
      <c r="AA66" s="527">
        <f t="shared" si="2"/>
        <v>50000</v>
      </c>
      <c r="AB66" s="531"/>
      <c r="AC66" s="531"/>
      <c r="AD66" s="527">
        <f t="shared" si="5"/>
        <v>0</v>
      </c>
      <c r="AE66" s="527"/>
      <c r="AF66" s="527"/>
      <c r="AG66" s="626"/>
      <c r="AH66" s="626"/>
      <c r="AI66" s="527">
        <f t="shared" si="3"/>
        <v>0</v>
      </c>
      <c r="AJ66" s="626"/>
      <c r="AK66" s="626"/>
      <c r="AL66" s="527">
        <f>AJ66*AK66</f>
        <v>0</v>
      </c>
      <c r="AM66" s="527">
        <v>2000</v>
      </c>
      <c r="AN66" s="527">
        <f t="shared" si="6"/>
        <v>62500</v>
      </c>
      <c r="AO66" s="76"/>
      <c r="AP66" s="76"/>
      <c r="AQ66" s="76"/>
      <c r="AR66" s="76"/>
      <c r="AS66" s="76"/>
      <c r="AT66" s="619">
        <f t="shared" si="7"/>
        <v>62500</v>
      </c>
    </row>
    <row r="67" spans="1:46" ht="73.5" customHeight="1">
      <c r="A67" s="1000"/>
      <c r="B67" s="1087"/>
      <c r="C67" s="1000"/>
      <c r="D67" s="1081"/>
      <c r="E67" s="413" t="s">
        <v>23</v>
      </c>
      <c r="F67" s="136" t="s">
        <v>475</v>
      </c>
      <c r="G67" s="136"/>
      <c r="H67" s="1000"/>
      <c r="I67" s="528"/>
      <c r="J67" s="529"/>
      <c r="K67" s="529"/>
      <c r="L67" s="618">
        <f t="shared" si="11"/>
        <v>0</v>
      </c>
      <c r="M67" s="537"/>
      <c r="N67" s="537"/>
      <c r="O67" s="537"/>
      <c r="P67" s="537"/>
      <c r="Q67" s="537"/>
      <c r="R67" s="537"/>
      <c r="S67" s="537"/>
      <c r="T67" s="537"/>
      <c r="U67" s="527">
        <f t="shared" si="0"/>
        <v>0</v>
      </c>
      <c r="V67" s="530">
        <v>20</v>
      </c>
      <c r="W67" s="530">
        <v>350</v>
      </c>
      <c r="X67" s="527">
        <f t="shared" si="1"/>
        <v>7000</v>
      </c>
      <c r="Y67" s="530">
        <v>40</v>
      </c>
      <c r="Z67" s="530">
        <v>1250</v>
      </c>
      <c r="AA67" s="527">
        <f t="shared" si="2"/>
        <v>50000</v>
      </c>
      <c r="AB67" s="531"/>
      <c r="AC67" s="531"/>
      <c r="AD67" s="527">
        <f t="shared" si="5"/>
        <v>0</v>
      </c>
      <c r="AE67" s="527"/>
      <c r="AF67" s="527"/>
      <c r="AG67" s="626"/>
      <c r="AH67" s="626"/>
      <c r="AI67" s="527">
        <f t="shared" si="3"/>
        <v>0</v>
      </c>
      <c r="AJ67" s="626"/>
      <c r="AK67" s="626"/>
      <c r="AL67" s="527">
        <f>AJ67*AK67</f>
        <v>0</v>
      </c>
      <c r="AM67" s="527">
        <v>2000</v>
      </c>
      <c r="AN67" s="527">
        <f t="shared" si="6"/>
        <v>59000</v>
      </c>
      <c r="AO67" s="76"/>
      <c r="AP67" s="76"/>
      <c r="AQ67" s="76"/>
      <c r="AR67" s="76"/>
      <c r="AS67" s="76"/>
      <c r="AT67" s="619">
        <f t="shared" si="7"/>
        <v>59000</v>
      </c>
    </row>
    <row r="68" spans="1:46" ht="91.5" customHeight="1">
      <c r="A68" s="1000"/>
      <c r="B68" s="1087"/>
      <c r="C68" s="1000"/>
      <c r="D68" s="1081"/>
      <c r="E68" s="413" t="s">
        <v>24</v>
      </c>
      <c r="F68" s="538" t="s">
        <v>476</v>
      </c>
      <c r="G68" s="136" t="s">
        <v>481</v>
      </c>
      <c r="H68" s="413"/>
      <c r="I68" s="528"/>
      <c r="J68" s="529"/>
      <c r="K68" s="529"/>
      <c r="L68" s="618">
        <f t="shared" si="11"/>
        <v>0</v>
      </c>
      <c r="M68" s="537"/>
      <c r="N68" s="537"/>
      <c r="O68" s="537"/>
      <c r="P68" s="537"/>
      <c r="Q68" s="537"/>
      <c r="R68" s="537"/>
      <c r="S68" s="537"/>
      <c r="T68" s="537"/>
      <c r="U68" s="527">
        <f t="shared" si="0"/>
        <v>0</v>
      </c>
      <c r="V68" s="530">
        <v>40</v>
      </c>
      <c r="W68" s="530">
        <v>350</v>
      </c>
      <c r="X68" s="527">
        <f t="shared" si="1"/>
        <v>14000</v>
      </c>
      <c r="Y68" s="530">
        <v>60</v>
      </c>
      <c r="Z68" s="530">
        <v>1250</v>
      </c>
      <c r="AA68" s="527">
        <f t="shared" si="2"/>
        <v>75000</v>
      </c>
      <c r="AB68" s="531"/>
      <c r="AC68" s="531"/>
      <c r="AD68" s="527">
        <f t="shared" si="5"/>
        <v>0</v>
      </c>
      <c r="AE68" s="527"/>
      <c r="AF68" s="527"/>
      <c r="AG68" s="626"/>
      <c r="AH68" s="626"/>
      <c r="AI68" s="527">
        <f t="shared" si="3"/>
        <v>0</v>
      </c>
      <c r="AJ68" s="626"/>
      <c r="AK68" s="626"/>
      <c r="AL68" s="527"/>
      <c r="AM68" s="527">
        <v>2000</v>
      </c>
      <c r="AN68" s="527">
        <f t="shared" si="6"/>
        <v>91000</v>
      </c>
      <c r="AO68" s="76"/>
      <c r="AP68" s="76"/>
      <c r="AQ68" s="76"/>
      <c r="AR68" s="76"/>
      <c r="AS68" s="76"/>
      <c r="AT68" s="619">
        <f t="shared" si="7"/>
        <v>91000</v>
      </c>
    </row>
    <row r="69" spans="1:46" ht="24" customHeight="1">
      <c r="A69" s="1000"/>
      <c r="B69" s="1087"/>
      <c r="C69" s="1000"/>
      <c r="D69" s="1081"/>
      <c r="E69" s="413" t="s">
        <v>97</v>
      </c>
      <c r="F69" s="538" t="s">
        <v>477</v>
      </c>
      <c r="G69" s="136" t="s">
        <v>482</v>
      </c>
      <c r="H69" s="413"/>
      <c r="I69" s="528"/>
      <c r="J69" s="529"/>
      <c r="K69" s="529"/>
      <c r="L69" s="618">
        <f t="shared" si="11"/>
        <v>0</v>
      </c>
      <c r="M69" s="537"/>
      <c r="N69" s="537"/>
      <c r="O69" s="537"/>
      <c r="P69" s="537"/>
      <c r="Q69" s="537"/>
      <c r="R69" s="537"/>
      <c r="S69" s="537"/>
      <c r="T69" s="537"/>
      <c r="U69" s="527">
        <f t="shared" si="0"/>
        <v>0</v>
      </c>
      <c r="V69" s="530">
        <v>10</v>
      </c>
      <c r="W69" s="530">
        <v>350</v>
      </c>
      <c r="X69" s="527">
        <f t="shared" si="1"/>
        <v>3500</v>
      </c>
      <c r="Y69" s="530">
        <v>30</v>
      </c>
      <c r="Z69" s="530">
        <v>1250</v>
      </c>
      <c r="AA69" s="527">
        <f t="shared" si="2"/>
        <v>37500</v>
      </c>
      <c r="AB69" s="531"/>
      <c r="AC69" s="531"/>
      <c r="AD69" s="527">
        <f t="shared" si="5"/>
        <v>0</v>
      </c>
      <c r="AE69" s="527"/>
      <c r="AF69" s="527"/>
      <c r="AG69" s="626"/>
      <c r="AH69" s="626"/>
      <c r="AI69" s="527">
        <f t="shared" si="3"/>
        <v>0</v>
      </c>
      <c r="AJ69" s="626"/>
      <c r="AK69" s="626"/>
      <c r="AL69" s="527"/>
      <c r="AM69" s="527">
        <v>1000</v>
      </c>
      <c r="AN69" s="527">
        <f t="shared" si="6"/>
        <v>42000</v>
      </c>
      <c r="AO69" s="76"/>
      <c r="AP69" s="76"/>
      <c r="AQ69" s="76"/>
      <c r="AR69" s="76"/>
      <c r="AS69" s="76"/>
      <c r="AT69" s="619">
        <f t="shared" si="7"/>
        <v>42000</v>
      </c>
    </row>
    <row r="70" spans="1:46" ht="117" customHeight="1">
      <c r="A70" s="1000"/>
      <c r="B70" s="1087"/>
      <c r="C70" s="1000"/>
      <c r="D70" s="1081"/>
      <c r="E70" s="413" t="s">
        <v>98</v>
      </c>
      <c r="F70" s="538" t="s">
        <v>478</v>
      </c>
      <c r="G70" s="136" t="s">
        <v>483</v>
      </c>
      <c r="H70" s="413"/>
      <c r="I70" s="528"/>
      <c r="J70" s="529"/>
      <c r="K70" s="529"/>
      <c r="L70" s="618">
        <f t="shared" si="11"/>
        <v>0</v>
      </c>
      <c r="M70" s="537"/>
      <c r="N70" s="537"/>
      <c r="O70" s="537"/>
      <c r="P70" s="537"/>
      <c r="Q70" s="537"/>
      <c r="R70" s="537"/>
      <c r="S70" s="537"/>
      <c r="T70" s="537"/>
      <c r="U70" s="527">
        <f t="shared" si="0"/>
        <v>0</v>
      </c>
      <c r="V70" s="530">
        <v>40</v>
      </c>
      <c r="W70" s="530">
        <v>350</v>
      </c>
      <c r="X70" s="527">
        <f t="shared" si="1"/>
        <v>14000</v>
      </c>
      <c r="Y70" s="530">
        <v>45</v>
      </c>
      <c r="Z70" s="530">
        <v>1250</v>
      </c>
      <c r="AA70" s="527">
        <f t="shared" si="2"/>
        <v>56250</v>
      </c>
      <c r="AB70" s="531"/>
      <c r="AC70" s="531"/>
      <c r="AD70" s="527">
        <f t="shared" si="5"/>
        <v>0</v>
      </c>
      <c r="AE70" s="527"/>
      <c r="AF70" s="527"/>
      <c r="AG70" s="626"/>
      <c r="AH70" s="626"/>
      <c r="AI70" s="527">
        <f t="shared" si="3"/>
        <v>0</v>
      </c>
      <c r="AJ70" s="626"/>
      <c r="AK70" s="626"/>
      <c r="AL70" s="527"/>
      <c r="AM70" s="527">
        <v>2000</v>
      </c>
      <c r="AN70" s="527">
        <f t="shared" si="6"/>
        <v>72250</v>
      </c>
      <c r="AO70" s="76"/>
      <c r="AP70" s="76"/>
      <c r="AQ70" s="76"/>
      <c r="AR70" s="76"/>
      <c r="AS70" s="76"/>
      <c r="AT70" s="619">
        <f t="shared" si="7"/>
        <v>72250</v>
      </c>
    </row>
    <row r="71" spans="1:46" ht="49.5" customHeight="1">
      <c r="A71" s="1000"/>
      <c r="B71" s="1087"/>
      <c r="C71" s="1000"/>
      <c r="D71" s="1081"/>
      <c r="E71" s="413" t="s">
        <v>99</v>
      </c>
      <c r="F71" s="624" t="s">
        <v>479</v>
      </c>
      <c r="G71" s="136" t="s">
        <v>484</v>
      </c>
      <c r="H71" s="413"/>
      <c r="I71" s="528"/>
      <c r="J71" s="529"/>
      <c r="K71" s="529"/>
      <c r="L71" s="618">
        <f t="shared" si="11"/>
        <v>0</v>
      </c>
      <c r="M71" s="537"/>
      <c r="N71" s="537"/>
      <c r="O71" s="537"/>
      <c r="P71" s="537"/>
      <c r="Q71" s="537"/>
      <c r="R71" s="537"/>
      <c r="S71" s="537"/>
      <c r="T71" s="537"/>
      <c r="U71" s="527">
        <f t="shared" si="0"/>
        <v>0</v>
      </c>
      <c r="V71" s="530"/>
      <c r="W71" s="530"/>
      <c r="X71" s="527">
        <f t="shared" si="1"/>
        <v>0</v>
      </c>
      <c r="Y71" s="530"/>
      <c r="Z71" s="530"/>
      <c r="AA71" s="527">
        <f t="shared" si="2"/>
        <v>0</v>
      </c>
      <c r="AB71" s="531"/>
      <c r="AC71" s="531"/>
      <c r="AD71" s="527">
        <f t="shared" si="5"/>
        <v>0</v>
      </c>
      <c r="AE71" s="527"/>
      <c r="AF71" s="527"/>
      <c r="AG71" s="626"/>
      <c r="AH71" s="626"/>
      <c r="AI71" s="527">
        <f aca="true" t="shared" si="12" ref="AI71:AI86">AG71*AH71</f>
        <v>0</v>
      </c>
      <c r="AJ71" s="626"/>
      <c r="AK71" s="626"/>
      <c r="AL71" s="527"/>
      <c r="AM71" s="527"/>
      <c r="AN71" s="527">
        <f t="shared" si="6"/>
        <v>0</v>
      </c>
      <c r="AO71" s="76"/>
      <c r="AP71" s="76"/>
      <c r="AQ71" s="76"/>
      <c r="AR71" s="76"/>
      <c r="AS71" s="76"/>
      <c r="AT71" s="619">
        <f t="shared" si="7"/>
        <v>0</v>
      </c>
    </row>
    <row r="72" spans="1:46" ht="49.5" customHeight="1">
      <c r="A72" s="1000"/>
      <c r="B72" s="1087"/>
      <c r="C72" s="1000"/>
      <c r="D72" s="1000" t="s">
        <v>485</v>
      </c>
      <c r="E72" s="413" t="s">
        <v>215</v>
      </c>
      <c r="F72" s="136" t="s">
        <v>480</v>
      </c>
      <c r="G72" s="136" t="s">
        <v>33</v>
      </c>
      <c r="H72" s="136"/>
      <c r="I72" s="528"/>
      <c r="J72" s="529"/>
      <c r="K72" s="529"/>
      <c r="L72" s="618">
        <f t="shared" si="11"/>
        <v>0</v>
      </c>
      <c r="M72" s="537"/>
      <c r="N72" s="537"/>
      <c r="O72" s="537"/>
      <c r="P72" s="537"/>
      <c r="Q72" s="537"/>
      <c r="R72" s="537"/>
      <c r="S72" s="537"/>
      <c r="T72" s="537"/>
      <c r="U72" s="527">
        <f t="shared" si="0"/>
        <v>0</v>
      </c>
      <c r="V72" s="530"/>
      <c r="W72" s="530"/>
      <c r="X72" s="527">
        <f aca="true" t="shared" si="13" ref="X72:X86">V72*W72</f>
        <v>0</v>
      </c>
      <c r="Y72" s="530"/>
      <c r="Z72" s="530"/>
      <c r="AA72" s="527">
        <f aca="true" t="shared" si="14" ref="AA72:AA86">Y72*Z72</f>
        <v>0</v>
      </c>
      <c r="AB72" s="531">
        <f>30*200*3</f>
        <v>18000</v>
      </c>
      <c r="AC72" s="531">
        <v>8</v>
      </c>
      <c r="AD72" s="527">
        <f aca="true" t="shared" si="15" ref="AD72:AD86">AB72*AC72</f>
        <v>144000</v>
      </c>
      <c r="AE72" s="527"/>
      <c r="AF72" s="527"/>
      <c r="AG72" s="626"/>
      <c r="AH72" s="626"/>
      <c r="AI72" s="527">
        <f t="shared" si="12"/>
        <v>0</v>
      </c>
      <c r="AJ72" s="626"/>
      <c r="AK72" s="626"/>
      <c r="AL72" s="527"/>
      <c r="AM72" s="527"/>
      <c r="AN72" s="527">
        <f aca="true" t="shared" si="16" ref="AN72:AN86">L72+U72+X72+AA72+AD72+AI72+AL72+AM72+AE72+AF72</f>
        <v>144000</v>
      </c>
      <c r="AO72" s="76"/>
      <c r="AP72" s="76"/>
      <c r="AQ72" s="76"/>
      <c r="AR72" s="76"/>
      <c r="AS72" s="76"/>
      <c r="AT72" s="619">
        <f t="shared" si="7"/>
        <v>144000</v>
      </c>
    </row>
    <row r="73" spans="1:46" ht="42.75" customHeight="1">
      <c r="A73" s="1000"/>
      <c r="B73" s="1087"/>
      <c r="C73" s="1000"/>
      <c r="D73" s="1000"/>
      <c r="E73" s="413" t="s">
        <v>216</v>
      </c>
      <c r="F73" s="538" t="s">
        <v>488</v>
      </c>
      <c r="G73" s="538"/>
      <c r="H73" s="136"/>
      <c r="I73" s="528"/>
      <c r="J73" s="529"/>
      <c r="K73" s="529"/>
      <c r="L73" s="618">
        <f t="shared" si="11"/>
        <v>0</v>
      </c>
      <c r="M73" s="537"/>
      <c r="N73" s="537"/>
      <c r="O73" s="537"/>
      <c r="P73" s="537"/>
      <c r="Q73" s="537"/>
      <c r="R73" s="537"/>
      <c r="S73" s="537"/>
      <c r="T73" s="537"/>
      <c r="U73" s="527">
        <f t="shared" si="0"/>
        <v>0</v>
      </c>
      <c r="V73" s="530">
        <v>20</v>
      </c>
      <c r="W73" s="530">
        <v>350</v>
      </c>
      <c r="X73" s="527">
        <f t="shared" si="13"/>
        <v>7000</v>
      </c>
      <c r="Y73" s="530">
        <v>50</v>
      </c>
      <c r="Z73" s="530">
        <v>1250</v>
      </c>
      <c r="AA73" s="527">
        <f t="shared" si="14"/>
        <v>62500</v>
      </c>
      <c r="AB73" s="531"/>
      <c r="AC73" s="531"/>
      <c r="AD73" s="527">
        <f t="shared" si="15"/>
        <v>0</v>
      </c>
      <c r="AE73" s="527"/>
      <c r="AF73" s="527"/>
      <c r="AG73" s="626"/>
      <c r="AH73" s="626"/>
      <c r="AI73" s="527">
        <f t="shared" si="12"/>
        <v>0</v>
      </c>
      <c r="AJ73" s="626"/>
      <c r="AK73" s="626"/>
      <c r="AL73" s="527"/>
      <c r="AM73" s="527"/>
      <c r="AN73" s="527">
        <f t="shared" si="16"/>
        <v>69500</v>
      </c>
      <c r="AO73" s="76"/>
      <c r="AP73" s="76"/>
      <c r="AQ73" s="76"/>
      <c r="AR73" s="76"/>
      <c r="AS73" s="76"/>
      <c r="AT73" s="619">
        <f t="shared" si="7"/>
        <v>69500</v>
      </c>
    </row>
    <row r="74" spans="1:46" ht="42.75" customHeight="1">
      <c r="A74" s="1000"/>
      <c r="B74" s="1087"/>
      <c r="C74" s="1000"/>
      <c r="D74" s="1000"/>
      <c r="E74" s="413" t="s">
        <v>217</v>
      </c>
      <c r="F74" s="538" t="s">
        <v>486</v>
      </c>
      <c r="G74" s="538" t="s">
        <v>470</v>
      </c>
      <c r="H74" s="136"/>
      <c r="I74" s="528"/>
      <c r="J74" s="529"/>
      <c r="K74" s="529"/>
      <c r="L74" s="618">
        <f t="shared" si="11"/>
        <v>0</v>
      </c>
      <c r="M74" s="537"/>
      <c r="N74" s="537"/>
      <c r="O74" s="537"/>
      <c r="P74" s="537"/>
      <c r="Q74" s="537"/>
      <c r="R74" s="537"/>
      <c r="S74" s="537"/>
      <c r="T74" s="537"/>
      <c r="U74" s="527">
        <f t="shared" si="0"/>
        <v>0</v>
      </c>
      <c r="V74" s="530"/>
      <c r="W74" s="530"/>
      <c r="X74" s="527">
        <f t="shared" si="13"/>
        <v>0</v>
      </c>
      <c r="Y74" s="530"/>
      <c r="Z74" s="530"/>
      <c r="AA74" s="527">
        <f t="shared" si="14"/>
        <v>0</v>
      </c>
      <c r="AB74" s="531"/>
      <c r="AC74" s="531"/>
      <c r="AD74" s="527">
        <f t="shared" si="15"/>
        <v>0</v>
      </c>
      <c r="AE74" s="527"/>
      <c r="AF74" s="527"/>
      <c r="AG74" s="626"/>
      <c r="AH74" s="626"/>
      <c r="AI74" s="527">
        <f t="shared" si="12"/>
        <v>0</v>
      </c>
      <c r="AJ74" s="626"/>
      <c r="AK74" s="626"/>
      <c r="AL74" s="527"/>
      <c r="AM74" s="527"/>
      <c r="AN74" s="527">
        <f t="shared" si="16"/>
        <v>0</v>
      </c>
      <c r="AO74" s="76"/>
      <c r="AP74" s="76"/>
      <c r="AQ74" s="76"/>
      <c r="AR74" s="76"/>
      <c r="AS74" s="76"/>
      <c r="AT74" s="619">
        <f t="shared" si="7"/>
        <v>0</v>
      </c>
    </row>
    <row r="75" spans="1:46" ht="42.75" customHeight="1">
      <c r="A75" s="1000"/>
      <c r="B75" s="1087"/>
      <c r="C75" s="1000"/>
      <c r="D75" s="1000"/>
      <c r="E75" s="413" t="s">
        <v>218</v>
      </c>
      <c r="F75" s="538" t="s">
        <v>487</v>
      </c>
      <c r="G75" s="538" t="s">
        <v>489</v>
      </c>
      <c r="H75" s="136"/>
      <c r="I75" s="528"/>
      <c r="J75" s="529"/>
      <c r="K75" s="529"/>
      <c r="L75" s="618">
        <f t="shared" si="11"/>
        <v>0</v>
      </c>
      <c r="M75" s="537"/>
      <c r="N75" s="537"/>
      <c r="O75" s="537"/>
      <c r="P75" s="537"/>
      <c r="Q75" s="537"/>
      <c r="R75" s="537"/>
      <c r="S75" s="537"/>
      <c r="T75" s="537"/>
      <c r="U75" s="527">
        <f t="shared" si="0"/>
        <v>0</v>
      </c>
      <c r="V75" s="530"/>
      <c r="W75" s="530"/>
      <c r="X75" s="527">
        <f t="shared" si="13"/>
        <v>0</v>
      </c>
      <c r="Y75" s="530"/>
      <c r="Z75" s="530"/>
      <c r="AA75" s="527">
        <f t="shared" si="14"/>
        <v>0</v>
      </c>
      <c r="AB75" s="531"/>
      <c r="AC75" s="531"/>
      <c r="AD75" s="527">
        <f t="shared" si="15"/>
        <v>0</v>
      </c>
      <c r="AE75" s="527"/>
      <c r="AF75" s="527"/>
      <c r="AG75" s="626"/>
      <c r="AH75" s="626"/>
      <c r="AI75" s="527">
        <f t="shared" si="12"/>
        <v>0</v>
      </c>
      <c r="AJ75" s="626"/>
      <c r="AK75" s="626"/>
      <c r="AL75" s="527"/>
      <c r="AM75" s="527"/>
      <c r="AN75" s="527">
        <f t="shared" si="16"/>
        <v>0</v>
      </c>
      <c r="AO75" s="76"/>
      <c r="AP75" s="76"/>
      <c r="AQ75" s="76"/>
      <c r="AR75" s="76"/>
      <c r="AS75" s="76"/>
      <c r="AT75" s="619">
        <f t="shared" si="7"/>
        <v>0</v>
      </c>
    </row>
    <row r="76" spans="1:46" ht="45.75" customHeight="1">
      <c r="A76" s="1000"/>
      <c r="B76" s="1087"/>
      <c r="C76" s="1000">
        <v>3.2</v>
      </c>
      <c r="D76" s="1082" t="s">
        <v>490</v>
      </c>
      <c r="E76" s="413" t="s">
        <v>25</v>
      </c>
      <c r="F76" s="136" t="s">
        <v>493</v>
      </c>
      <c r="G76" s="136"/>
      <c r="H76" s="136" t="s">
        <v>101</v>
      </c>
      <c r="I76" s="528"/>
      <c r="J76" s="529"/>
      <c r="K76" s="529"/>
      <c r="L76" s="618">
        <f t="shared" si="11"/>
        <v>0</v>
      </c>
      <c r="M76" s="537"/>
      <c r="N76" s="537"/>
      <c r="O76" s="537"/>
      <c r="P76" s="537"/>
      <c r="Q76" s="537"/>
      <c r="R76" s="537"/>
      <c r="S76" s="537"/>
      <c r="T76" s="537"/>
      <c r="U76" s="527">
        <f t="shared" si="0"/>
        <v>0</v>
      </c>
      <c r="V76" s="530">
        <v>30</v>
      </c>
      <c r="W76" s="530">
        <v>350</v>
      </c>
      <c r="X76" s="527">
        <f t="shared" si="13"/>
        <v>10500</v>
      </c>
      <c r="Y76" s="530">
        <v>40</v>
      </c>
      <c r="Z76" s="530">
        <v>1250</v>
      </c>
      <c r="AA76" s="527">
        <f t="shared" si="14"/>
        <v>50000</v>
      </c>
      <c r="AB76" s="531"/>
      <c r="AC76" s="531"/>
      <c r="AD76" s="527">
        <f t="shared" si="15"/>
        <v>0</v>
      </c>
      <c r="AE76" s="527"/>
      <c r="AF76" s="527"/>
      <c r="AG76" s="626"/>
      <c r="AH76" s="626"/>
      <c r="AI76" s="527">
        <f t="shared" si="12"/>
        <v>0</v>
      </c>
      <c r="AJ76" s="626"/>
      <c r="AK76" s="626"/>
      <c r="AL76" s="527">
        <f>AJ76*AK76</f>
        <v>0</v>
      </c>
      <c r="AM76" s="527">
        <v>1000</v>
      </c>
      <c r="AN76" s="527">
        <f t="shared" si="16"/>
        <v>61500</v>
      </c>
      <c r="AO76" s="76"/>
      <c r="AP76" s="76"/>
      <c r="AQ76" s="76"/>
      <c r="AR76" s="76">
        <f>AN76</f>
        <v>61500</v>
      </c>
      <c r="AS76" s="76"/>
      <c r="AT76" s="619">
        <f t="shared" si="7"/>
        <v>0</v>
      </c>
    </row>
    <row r="77" spans="1:46" ht="48.75" customHeight="1">
      <c r="A77" s="1000"/>
      <c r="B77" s="1087"/>
      <c r="C77" s="1000"/>
      <c r="D77" s="1002"/>
      <c r="E77" s="413" t="s">
        <v>26</v>
      </c>
      <c r="F77" s="136" t="s">
        <v>494</v>
      </c>
      <c r="G77" s="136"/>
      <c r="H77" s="136" t="s">
        <v>102</v>
      </c>
      <c r="I77" s="528"/>
      <c r="J77" s="529"/>
      <c r="K77" s="529"/>
      <c r="L77" s="618">
        <f t="shared" si="11"/>
        <v>0</v>
      </c>
      <c r="M77" s="537">
        <v>1</v>
      </c>
      <c r="N77" s="537">
        <v>2</v>
      </c>
      <c r="O77" s="537">
        <v>10</v>
      </c>
      <c r="P77" s="537">
        <v>350</v>
      </c>
      <c r="Q77" s="537">
        <v>25</v>
      </c>
      <c r="R77" s="537">
        <v>50</v>
      </c>
      <c r="S77" s="537">
        <v>20</v>
      </c>
      <c r="T77" s="537"/>
      <c r="U77" s="527">
        <f t="shared" si="0"/>
        <v>2400</v>
      </c>
      <c r="V77" s="530">
        <v>5</v>
      </c>
      <c r="W77" s="530">
        <v>350</v>
      </c>
      <c r="X77" s="527">
        <f t="shared" si="13"/>
        <v>1750</v>
      </c>
      <c r="Y77" s="530">
        <v>5</v>
      </c>
      <c r="Z77" s="530">
        <v>1250</v>
      </c>
      <c r="AA77" s="527">
        <f t="shared" si="14"/>
        <v>6250</v>
      </c>
      <c r="AB77" s="531"/>
      <c r="AC77" s="531"/>
      <c r="AD77" s="527">
        <f t="shared" si="15"/>
        <v>0</v>
      </c>
      <c r="AE77" s="527"/>
      <c r="AF77" s="527"/>
      <c r="AG77" s="626"/>
      <c r="AH77" s="626"/>
      <c r="AI77" s="527">
        <f t="shared" si="12"/>
        <v>0</v>
      </c>
      <c r="AJ77" s="626"/>
      <c r="AK77" s="626"/>
      <c r="AL77" s="527"/>
      <c r="AM77" s="527">
        <v>1000</v>
      </c>
      <c r="AN77" s="527">
        <f t="shared" si="16"/>
        <v>11400</v>
      </c>
      <c r="AO77" s="76"/>
      <c r="AP77" s="76"/>
      <c r="AQ77" s="76"/>
      <c r="AR77" s="76">
        <f>AN77</f>
        <v>11400</v>
      </c>
      <c r="AS77" s="76"/>
      <c r="AT77" s="619">
        <f t="shared" si="7"/>
        <v>0</v>
      </c>
    </row>
    <row r="78" spans="1:46" ht="33" customHeight="1">
      <c r="A78" s="1000"/>
      <c r="B78" s="1087"/>
      <c r="C78" s="1000"/>
      <c r="D78" s="1002"/>
      <c r="E78" s="413" t="s">
        <v>56</v>
      </c>
      <c r="F78" s="136" t="s">
        <v>495</v>
      </c>
      <c r="G78" s="136"/>
      <c r="H78" s="136" t="s">
        <v>103</v>
      </c>
      <c r="I78" s="528"/>
      <c r="J78" s="529"/>
      <c r="K78" s="529"/>
      <c r="L78" s="618">
        <f t="shared" si="11"/>
        <v>0</v>
      </c>
      <c r="M78" s="537">
        <f>20*3</f>
        <v>60</v>
      </c>
      <c r="N78" s="537">
        <v>2</v>
      </c>
      <c r="O78" s="537">
        <v>20</v>
      </c>
      <c r="P78" s="537"/>
      <c r="Q78" s="537">
        <v>25</v>
      </c>
      <c r="R78" s="537"/>
      <c r="S78" s="537">
        <v>20</v>
      </c>
      <c r="T78" s="537">
        <v>65</v>
      </c>
      <c r="U78" s="527">
        <f t="shared" si="0"/>
        <v>91800</v>
      </c>
      <c r="V78" s="530"/>
      <c r="W78" s="530"/>
      <c r="X78" s="527">
        <f t="shared" si="13"/>
        <v>0</v>
      </c>
      <c r="Y78" s="530"/>
      <c r="Z78" s="530"/>
      <c r="AA78" s="527">
        <f t="shared" si="14"/>
        <v>0</v>
      </c>
      <c r="AB78" s="531"/>
      <c r="AC78" s="531"/>
      <c r="AD78" s="527">
        <f t="shared" si="15"/>
        <v>0</v>
      </c>
      <c r="AE78" s="527"/>
      <c r="AF78" s="527"/>
      <c r="AG78" s="626"/>
      <c r="AH78" s="626"/>
      <c r="AI78" s="527">
        <f t="shared" si="12"/>
        <v>0</v>
      </c>
      <c r="AJ78" s="626"/>
      <c r="AK78" s="626"/>
      <c r="AL78" s="527"/>
      <c r="AM78" s="527">
        <v>1000</v>
      </c>
      <c r="AN78" s="527">
        <f t="shared" si="16"/>
        <v>92800</v>
      </c>
      <c r="AO78" s="76"/>
      <c r="AP78" s="76"/>
      <c r="AQ78" s="76"/>
      <c r="AR78" s="76"/>
      <c r="AS78" s="76"/>
      <c r="AT78" s="619">
        <f t="shared" si="7"/>
        <v>92800</v>
      </c>
    </row>
    <row r="79" spans="1:46" ht="34.5" customHeight="1">
      <c r="A79" s="1000"/>
      <c r="B79" s="1087"/>
      <c r="C79" s="1000"/>
      <c r="D79" s="1002"/>
      <c r="E79" s="413" t="s">
        <v>57</v>
      </c>
      <c r="F79" s="552" t="s">
        <v>496</v>
      </c>
      <c r="G79" s="795" t="s">
        <v>503</v>
      </c>
      <c r="H79" s="136"/>
      <c r="I79" s="528"/>
      <c r="J79" s="529"/>
      <c r="K79" s="529"/>
      <c r="L79" s="618">
        <f t="shared" si="11"/>
        <v>0</v>
      </c>
      <c r="M79" s="537">
        <v>1</v>
      </c>
      <c r="N79" s="537">
        <v>2</v>
      </c>
      <c r="O79" s="537">
        <v>4</v>
      </c>
      <c r="P79" s="537"/>
      <c r="Q79" s="537">
        <v>25</v>
      </c>
      <c r="R79" s="537"/>
      <c r="S79" s="537">
        <v>20</v>
      </c>
      <c r="T79" s="537"/>
      <c r="U79" s="527">
        <f t="shared" si="0"/>
        <v>280</v>
      </c>
      <c r="V79" s="530"/>
      <c r="W79" s="530"/>
      <c r="X79" s="527">
        <f t="shared" si="13"/>
        <v>0</v>
      </c>
      <c r="Y79" s="530">
        <v>50</v>
      </c>
      <c r="Z79" s="530">
        <v>1250</v>
      </c>
      <c r="AA79" s="527">
        <f t="shared" si="14"/>
        <v>62500</v>
      </c>
      <c r="AB79" s="531">
        <v>200</v>
      </c>
      <c r="AC79" s="531">
        <v>10</v>
      </c>
      <c r="AD79" s="527">
        <f t="shared" si="15"/>
        <v>2000</v>
      </c>
      <c r="AE79" s="527"/>
      <c r="AF79" s="527"/>
      <c r="AG79" s="626"/>
      <c r="AH79" s="626"/>
      <c r="AI79" s="527">
        <f t="shared" si="12"/>
        <v>0</v>
      </c>
      <c r="AJ79" s="626"/>
      <c r="AK79" s="626"/>
      <c r="AL79" s="527"/>
      <c r="AM79" s="527"/>
      <c r="AN79" s="527">
        <f t="shared" si="16"/>
        <v>64780</v>
      </c>
      <c r="AO79" s="76"/>
      <c r="AP79" s="76"/>
      <c r="AQ79" s="76"/>
      <c r="AR79" s="76"/>
      <c r="AS79" s="76"/>
      <c r="AT79" s="619">
        <f t="shared" si="7"/>
        <v>64780</v>
      </c>
    </row>
    <row r="80" spans="1:46" ht="30" customHeight="1">
      <c r="A80" s="1000"/>
      <c r="B80" s="1087"/>
      <c r="C80" s="1000"/>
      <c r="D80" s="1083"/>
      <c r="E80" s="413" t="s">
        <v>100</v>
      </c>
      <c r="F80" s="552" t="s">
        <v>497</v>
      </c>
      <c r="G80" s="795" t="s">
        <v>503</v>
      </c>
      <c r="H80" s="136"/>
      <c r="I80" s="528"/>
      <c r="J80" s="529"/>
      <c r="K80" s="529"/>
      <c r="L80" s="618">
        <f t="shared" si="11"/>
        <v>0</v>
      </c>
      <c r="M80" s="537"/>
      <c r="N80" s="537"/>
      <c r="O80" s="537"/>
      <c r="P80" s="537"/>
      <c r="Q80" s="537"/>
      <c r="R80" s="537"/>
      <c r="S80" s="537"/>
      <c r="T80" s="537"/>
      <c r="U80" s="527">
        <f t="shared" si="0"/>
        <v>0</v>
      </c>
      <c r="V80" s="530"/>
      <c r="W80" s="530"/>
      <c r="X80" s="527">
        <f t="shared" si="13"/>
        <v>0</v>
      </c>
      <c r="Y80" s="530">
        <v>60</v>
      </c>
      <c r="Z80" s="530">
        <v>1250</v>
      </c>
      <c r="AA80" s="527">
        <f t="shared" si="14"/>
        <v>75000</v>
      </c>
      <c r="AB80" s="531">
        <v>500</v>
      </c>
      <c r="AC80" s="531">
        <v>10</v>
      </c>
      <c r="AD80" s="527">
        <f t="shared" si="15"/>
        <v>5000</v>
      </c>
      <c r="AE80" s="527"/>
      <c r="AF80" s="527"/>
      <c r="AG80" s="626"/>
      <c r="AH80" s="626"/>
      <c r="AI80" s="527">
        <f t="shared" si="12"/>
        <v>0</v>
      </c>
      <c r="AJ80" s="626"/>
      <c r="AK80" s="626"/>
      <c r="AL80" s="527">
        <f>AJ80*AK80</f>
        <v>0</v>
      </c>
      <c r="AM80" s="527"/>
      <c r="AN80" s="527">
        <f t="shared" si="16"/>
        <v>80000</v>
      </c>
      <c r="AO80" s="76"/>
      <c r="AP80" s="76"/>
      <c r="AQ80" s="76"/>
      <c r="AR80" s="76"/>
      <c r="AS80" s="76"/>
      <c r="AT80" s="619">
        <f t="shared" si="7"/>
        <v>80000</v>
      </c>
    </row>
    <row r="81" spans="1:46" ht="42.75" customHeight="1">
      <c r="A81" s="1000"/>
      <c r="B81" s="1087"/>
      <c r="C81" s="1000">
        <v>3.4</v>
      </c>
      <c r="D81" s="1082" t="s">
        <v>491</v>
      </c>
      <c r="E81" s="634" t="s">
        <v>130</v>
      </c>
      <c r="F81" s="553" t="s">
        <v>498</v>
      </c>
      <c r="G81" s="136" t="s">
        <v>470</v>
      </c>
      <c r="H81" s="136"/>
      <c r="I81" s="529"/>
      <c r="J81" s="529"/>
      <c r="K81" s="529"/>
      <c r="L81" s="618">
        <f t="shared" si="11"/>
        <v>0</v>
      </c>
      <c r="M81" s="537"/>
      <c r="N81" s="537"/>
      <c r="O81" s="537"/>
      <c r="P81" s="537"/>
      <c r="Q81" s="537"/>
      <c r="R81" s="537"/>
      <c r="S81" s="537"/>
      <c r="T81" s="537"/>
      <c r="U81" s="527">
        <f t="shared" si="0"/>
        <v>0</v>
      </c>
      <c r="V81" s="530"/>
      <c r="W81" s="530"/>
      <c r="X81" s="527"/>
      <c r="Y81" s="530"/>
      <c r="Z81" s="530"/>
      <c r="AA81" s="527">
        <f t="shared" si="14"/>
        <v>0</v>
      </c>
      <c r="AB81" s="531"/>
      <c r="AC81" s="531"/>
      <c r="AD81" s="527">
        <f t="shared" si="15"/>
        <v>0</v>
      </c>
      <c r="AE81" s="527"/>
      <c r="AF81" s="527"/>
      <c r="AG81" s="626"/>
      <c r="AH81" s="626"/>
      <c r="AI81" s="527">
        <f t="shared" si="12"/>
        <v>0</v>
      </c>
      <c r="AJ81" s="626"/>
      <c r="AK81" s="626"/>
      <c r="AL81" s="527">
        <f>AJ81*AK81</f>
        <v>0</v>
      </c>
      <c r="AM81" s="527">
        <f>1800000/140</f>
        <v>12857.142857142857</v>
      </c>
      <c r="AN81" s="527">
        <f t="shared" si="16"/>
        <v>12857.142857142857</v>
      </c>
      <c r="AO81" s="76">
        <f>AN81</f>
        <v>12857.142857142857</v>
      </c>
      <c r="AP81" s="76"/>
      <c r="AQ81" s="76"/>
      <c r="AR81" s="76"/>
      <c r="AS81" s="76"/>
      <c r="AT81" s="619">
        <f t="shared" si="7"/>
        <v>0</v>
      </c>
    </row>
    <row r="82" spans="1:46" ht="43.5" customHeight="1">
      <c r="A82" s="1000"/>
      <c r="B82" s="1087"/>
      <c r="C82" s="1000"/>
      <c r="D82" s="1002"/>
      <c r="E82" s="634" t="s">
        <v>131</v>
      </c>
      <c r="F82" s="553" t="s">
        <v>499</v>
      </c>
      <c r="G82" s="136" t="s">
        <v>502</v>
      </c>
      <c r="H82" s="136"/>
      <c r="I82" s="529"/>
      <c r="J82" s="529"/>
      <c r="K82" s="529"/>
      <c r="L82" s="618">
        <f t="shared" si="11"/>
        <v>0</v>
      </c>
      <c r="M82" s="537"/>
      <c r="N82" s="537"/>
      <c r="O82" s="537"/>
      <c r="P82" s="537"/>
      <c r="Q82" s="537"/>
      <c r="R82" s="537"/>
      <c r="S82" s="537"/>
      <c r="T82" s="537"/>
      <c r="U82" s="527">
        <f t="shared" si="0"/>
        <v>0</v>
      </c>
      <c r="V82" s="530"/>
      <c r="W82" s="530"/>
      <c r="X82" s="527">
        <f>9137556/140</f>
        <v>65268.25714285715</v>
      </c>
      <c r="Y82" s="530"/>
      <c r="Z82" s="530"/>
      <c r="AA82" s="527">
        <f t="shared" si="14"/>
        <v>0</v>
      </c>
      <c r="AB82" s="531"/>
      <c r="AC82" s="531"/>
      <c r="AD82" s="527">
        <f t="shared" si="15"/>
        <v>0</v>
      </c>
      <c r="AE82" s="527"/>
      <c r="AF82" s="527"/>
      <c r="AG82" s="626"/>
      <c r="AH82" s="626"/>
      <c r="AI82" s="527">
        <f t="shared" si="12"/>
        <v>0</v>
      </c>
      <c r="AJ82" s="626"/>
      <c r="AK82" s="626"/>
      <c r="AL82" s="527"/>
      <c r="AM82" s="527"/>
      <c r="AN82" s="527">
        <f t="shared" si="16"/>
        <v>65268.25714285715</v>
      </c>
      <c r="AO82" s="76">
        <f>AN82</f>
        <v>65268.25714285715</v>
      </c>
      <c r="AP82" s="76"/>
      <c r="AQ82" s="76"/>
      <c r="AR82" s="76"/>
      <c r="AS82" s="76"/>
      <c r="AT82" s="619">
        <f t="shared" si="7"/>
        <v>0</v>
      </c>
    </row>
    <row r="83" spans="1:46" ht="27.75" customHeight="1">
      <c r="A83" s="1000"/>
      <c r="B83" s="1087"/>
      <c r="C83" s="1000"/>
      <c r="D83" s="1002"/>
      <c r="E83" s="634" t="s">
        <v>132</v>
      </c>
      <c r="F83" s="553" t="s">
        <v>500</v>
      </c>
      <c r="G83" s="136" t="s">
        <v>502</v>
      </c>
      <c r="H83" s="136"/>
      <c r="I83" s="529"/>
      <c r="J83" s="529"/>
      <c r="K83" s="529"/>
      <c r="L83" s="618">
        <f t="shared" si="11"/>
        <v>0</v>
      </c>
      <c r="M83" s="537"/>
      <c r="N83" s="537"/>
      <c r="O83" s="537"/>
      <c r="P83" s="537"/>
      <c r="Q83" s="537"/>
      <c r="R83" s="537"/>
      <c r="S83" s="537"/>
      <c r="T83" s="537"/>
      <c r="U83" s="527">
        <f t="shared" si="0"/>
        <v>0</v>
      </c>
      <c r="V83" s="530"/>
      <c r="W83" s="530"/>
      <c r="X83" s="527">
        <f t="shared" si="13"/>
        <v>0</v>
      </c>
      <c r="Y83" s="530"/>
      <c r="Z83" s="530"/>
      <c r="AA83" s="527">
        <f t="shared" si="14"/>
        <v>0</v>
      </c>
      <c r="AB83" s="531"/>
      <c r="AC83" s="531"/>
      <c r="AD83" s="527">
        <f t="shared" si="15"/>
        <v>0</v>
      </c>
      <c r="AE83" s="527"/>
      <c r="AF83" s="527"/>
      <c r="AG83" s="626"/>
      <c r="AH83" s="626"/>
      <c r="AI83" s="527">
        <f t="shared" si="12"/>
        <v>0</v>
      </c>
      <c r="AJ83" s="626"/>
      <c r="AK83" s="626"/>
      <c r="AL83" s="527"/>
      <c r="AM83" s="527">
        <f>1058400/140/3</f>
        <v>2520</v>
      </c>
      <c r="AN83" s="527">
        <f t="shared" si="16"/>
        <v>2520</v>
      </c>
      <c r="AO83" s="76">
        <f>AN83</f>
        <v>2520</v>
      </c>
      <c r="AP83" s="76"/>
      <c r="AQ83" s="76"/>
      <c r="AR83" s="76"/>
      <c r="AS83" s="76"/>
      <c r="AT83" s="619">
        <f t="shared" si="7"/>
        <v>0</v>
      </c>
    </row>
    <row r="84" spans="1:46" ht="34.5" customHeight="1">
      <c r="A84" s="1000"/>
      <c r="B84" s="1087"/>
      <c r="C84" s="1000"/>
      <c r="D84" s="1002"/>
      <c r="E84" s="634" t="s">
        <v>133</v>
      </c>
      <c r="F84" s="553" t="s">
        <v>501</v>
      </c>
      <c r="G84" s="635" t="s">
        <v>470</v>
      </c>
      <c r="H84" s="136"/>
      <c r="I84" s="528"/>
      <c r="J84" s="529"/>
      <c r="K84" s="529"/>
      <c r="L84" s="618">
        <f t="shared" si="11"/>
        <v>0</v>
      </c>
      <c r="M84" s="537"/>
      <c r="N84" s="537"/>
      <c r="O84" s="537"/>
      <c r="P84" s="537"/>
      <c r="Q84" s="537"/>
      <c r="R84" s="537"/>
      <c r="S84" s="537"/>
      <c r="T84" s="537"/>
      <c r="U84" s="527">
        <f t="shared" si="0"/>
        <v>0</v>
      </c>
      <c r="V84" s="530"/>
      <c r="W84" s="530"/>
      <c r="X84" s="527">
        <f t="shared" si="13"/>
        <v>0</v>
      </c>
      <c r="Y84" s="530"/>
      <c r="Z84" s="530"/>
      <c r="AA84" s="527">
        <f t="shared" si="14"/>
        <v>0</v>
      </c>
      <c r="AB84" s="531"/>
      <c r="AC84" s="531"/>
      <c r="AD84" s="527">
        <f t="shared" si="15"/>
        <v>0</v>
      </c>
      <c r="AE84" s="527"/>
      <c r="AF84" s="527"/>
      <c r="AG84" s="626"/>
      <c r="AH84" s="626"/>
      <c r="AI84" s="527">
        <f t="shared" si="12"/>
        <v>0</v>
      </c>
      <c r="AJ84" s="626"/>
      <c r="AK84" s="626"/>
      <c r="AL84" s="527"/>
      <c r="AM84" s="527"/>
      <c r="AN84" s="527">
        <f t="shared" si="16"/>
        <v>0</v>
      </c>
      <c r="AO84" s="76"/>
      <c r="AP84" s="76"/>
      <c r="AQ84" s="76"/>
      <c r="AR84" s="76"/>
      <c r="AS84" s="76"/>
      <c r="AT84" s="619">
        <f t="shared" si="7"/>
        <v>0</v>
      </c>
    </row>
    <row r="85" spans="1:46" ht="26.25" customHeight="1">
      <c r="A85" s="1000"/>
      <c r="B85" s="1087"/>
      <c r="C85" s="1000"/>
      <c r="D85" s="1002"/>
      <c r="E85" s="634" t="s">
        <v>219</v>
      </c>
      <c r="F85" s="553"/>
      <c r="G85" s="136"/>
      <c r="H85" s="136"/>
      <c r="I85" s="528"/>
      <c r="J85" s="529"/>
      <c r="K85" s="529"/>
      <c r="L85" s="618">
        <f t="shared" si="11"/>
        <v>0</v>
      </c>
      <c r="M85" s="537"/>
      <c r="N85" s="537"/>
      <c r="O85" s="537"/>
      <c r="P85" s="537"/>
      <c r="Q85" s="537"/>
      <c r="R85" s="537"/>
      <c r="S85" s="537"/>
      <c r="T85" s="537"/>
      <c r="U85" s="527">
        <f t="shared" si="0"/>
        <v>0</v>
      </c>
      <c r="V85" s="530"/>
      <c r="W85" s="530"/>
      <c r="X85" s="527">
        <f t="shared" si="13"/>
        <v>0</v>
      </c>
      <c r="Y85" s="530"/>
      <c r="Z85" s="530"/>
      <c r="AA85" s="527">
        <f t="shared" si="14"/>
        <v>0</v>
      </c>
      <c r="AB85" s="531"/>
      <c r="AC85" s="531"/>
      <c r="AD85" s="527">
        <f t="shared" si="15"/>
        <v>0</v>
      </c>
      <c r="AE85" s="527"/>
      <c r="AF85" s="527"/>
      <c r="AG85" s="626"/>
      <c r="AH85" s="626"/>
      <c r="AI85" s="527">
        <f t="shared" si="12"/>
        <v>0</v>
      </c>
      <c r="AJ85" s="626"/>
      <c r="AK85" s="626"/>
      <c r="AL85" s="527"/>
      <c r="AM85" s="527"/>
      <c r="AN85" s="527">
        <f t="shared" si="16"/>
        <v>0</v>
      </c>
      <c r="AO85" s="76"/>
      <c r="AP85" s="76"/>
      <c r="AQ85" s="76"/>
      <c r="AR85" s="76"/>
      <c r="AS85" s="76"/>
      <c r="AT85" s="619">
        <f t="shared" si="7"/>
        <v>0</v>
      </c>
    </row>
    <row r="86" spans="1:46" ht="20.25" customHeight="1">
      <c r="A86" s="1000"/>
      <c r="B86" s="1087"/>
      <c r="C86" s="1000"/>
      <c r="D86" s="1083"/>
      <c r="E86" s="634" t="s">
        <v>220</v>
      </c>
      <c r="F86" s="136"/>
      <c r="G86" s="136"/>
      <c r="H86" s="136"/>
      <c r="I86" s="528"/>
      <c r="J86" s="529"/>
      <c r="K86" s="529"/>
      <c r="L86" s="618">
        <f t="shared" si="11"/>
        <v>0</v>
      </c>
      <c r="M86" s="537"/>
      <c r="N86" s="537"/>
      <c r="O86" s="537"/>
      <c r="P86" s="537"/>
      <c r="Q86" s="537"/>
      <c r="R86" s="537"/>
      <c r="S86" s="537"/>
      <c r="T86" s="537"/>
      <c r="U86" s="527">
        <f t="shared" si="0"/>
        <v>0</v>
      </c>
      <c r="V86" s="530"/>
      <c r="W86" s="530"/>
      <c r="X86" s="527">
        <f t="shared" si="13"/>
        <v>0</v>
      </c>
      <c r="Y86" s="530"/>
      <c r="Z86" s="530"/>
      <c r="AA86" s="527">
        <f t="shared" si="14"/>
        <v>0</v>
      </c>
      <c r="AB86" s="531"/>
      <c r="AC86" s="531"/>
      <c r="AD86" s="527">
        <f t="shared" si="15"/>
        <v>0</v>
      </c>
      <c r="AE86" s="527"/>
      <c r="AF86" s="527"/>
      <c r="AG86" s="626"/>
      <c r="AH86" s="626"/>
      <c r="AI86" s="527">
        <f t="shared" si="12"/>
        <v>0</v>
      </c>
      <c r="AJ86" s="626"/>
      <c r="AK86" s="626"/>
      <c r="AL86" s="527">
        <f>AJ86*AK86</f>
        <v>0</v>
      </c>
      <c r="AM86" s="527"/>
      <c r="AN86" s="527">
        <f t="shared" si="16"/>
        <v>0</v>
      </c>
      <c r="AO86" s="76"/>
      <c r="AP86" s="76"/>
      <c r="AQ86" s="76"/>
      <c r="AR86" s="76"/>
      <c r="AS86" s="76"/>
      <c r="AT86" s="619">
        <f t="shared" si="7"/>
        <v>0</v>
      </c>
    </row>
    <row r="87" spans="1:46" ht="20.25" customHeight="1">
      <c r="A87" s="413"/>
      <c r="B87" s="453"/>
      <c r="C87" s="454"/>
      <c r="D87" s="455" t="s">
        <v>492</v>
      </c>
      <c r="E87" s="454"/>
      <c r="F87" s="455"/>
      <c r="G87" s="455"/>
      <c r="H87" s="455"/>
      <c r="I87" s="539"/>
      <c r="J87" s="540"/>
      <c r="K87" s="540"/>
      <c r="L87" s="541"/>
      <c r="M87" s="540"/>
      <c r="N87" s="540"/>
      <c r="O87" s="540"/>
      <c r="P87" s="540"/>
      <c r="Q87" s="540"/>
      <c r="R87" s="540"/>
      <c r="S87" s="540"/>
      <c r="T87" s="540"/>
      <c r="U87" s="539">
        <f>SUM(U66:U86)</f>
        <v>94480</v>
      </c>
      <c r="V87" s="539"/>
      <c r="W87" s="539"/>
      <c r="X87" s="539">
        <f aca="true" t="shared" si="17" ref="X87:AT87">SUM(X66:X86)</f>
        <v>133518.25714285715</v>
      </c>
      <c r="Y87" s="539"/>
      <c r="Z87" s="539"/>
      <c r="AA87" s="539">
        <f t="shared" si="17"/>
        <v>525000</v>
      </c>
      <c r="AB87" s="539"/>
      <c r="AC87" s="539"/>
      <c r="AD87" s="539">
        <f t="shared" si="17"/>
        <v>151000</v>
      </c>
      <c r="AE87" s="539">
        <f t="shared" si="17"/>
        <v>0</v>
      </c>
      <c r="AF87" s="539">
        <f t="shared" si="17"/>
        <v>0</v>
      </c>
      <c r="AG87" s="539">
        <f t="shared" si="17"/>
        <v>0</v>
      </c>
      <c r="AH87" s="539">
        <f t="shared" si="17"/>
        <v>0</v>
      </c>
      <c r="AI87" s="539">
        <f t="shared" si="17"/>
        <v>0</v>
      </c>
      <c r="AJ87" s="539">
        <f t="shared" si="17"/>
        <v>0</v>
      </c>
      <c r="AK87" s="539">
        <f t="shared" si="17"/>
        <v>0</v>
      </c>
      <c r="AL87" s="539">
        <f t="shared" si="17"/>
        <v>0</v>
      </c>
      <c r="AM87" s="539">
        <f t="shared" si="17"/>
        <v>27377.142857142855</v>
      </c>
      <c r="AN87" s="539">
        <f t="shared" si="17"/>
        <v>931375.4</v>
      </c>
      <c r="AO87" s="539">
        <f t="shared" si="17"/>
        <v>80645.40000000001</v>
      </c>
      <c r="AP87" s="539">
        <f t="shared" si="17"/>
        <v>0</v>
      </c>
      <c r="AQ87" s="539">
        <f t="shared" si="17"/>
        <v>0</v>
      </c>
      <c r="AR87" s="539">
        <f t="shared" si="17"/>
        <v>72900</v>
      </c>
      <c r="AS87" s="539">
        <f t="shared" si="17"/>
        <v>0</v>
      </c>
      <c r="AT87" s="539">
        <f t="shared" si="17"/>
        <v>777830</v>
      </c>
    </row>
    <row r="88" spans="1:46" ht="11.25">
      <c r="A88" s="636"/>
      <c r="B88" s="637"/>
      <c r="C88" s="636"/>
      <c r="D88" s="638"/>
      <c r="E88" s="639"/>
      <c r="F88" s="640"/>
      <c r="G88" s="641"/>
      <c r="H88" s="641"/>
      <c r="I88" s="642"/>
      <c r="J88" s="642"/>
      <c r="K88" s="642"/>
      <c r="L88" s="642">
        <f aca="true" t="shared" si="18" ref="L88:AT88">L42+L64+L87</f>
        <v>259200</v>
      </c>
      <c r="M88" s="642">
        <f t="shared" si="18"/>
        <v>0</v>
      </c>
      <c r="N88" s="642">
        <f t="shared" si="18"/>
        <v>0</v>
      </c>
      <c r="O88" s="642">
        <f t="shared" si="18"/>
        <v>0</v>
      </c>
      <c r="P88" s="642">
        <f t="shared" si="18"/>
        <v>0</v>
      </c>
      <c r="Q88" s="642">
        <f t="shared" si="18"/>
        <v>0</v>
      </c>
      <c r="R88" s="642">
        <f t="shared" si="18"/>
        <v>0</v>
      </c>
      <c r="S88" s="642">
        <f t="shared" si="18"/>
        <v>0</v>
      </c>
      <c r="T88" s="642">
        <f t="shared" si="18"/>
        <v>0</v>
      </c>
      <c r="U88" s="642">
        <f t="shared" si="18"/>
        <v>883515</v>
      </c>
      <c r="V88" s="642">
        <f t="shared" si="18"/>
        <v>0</v>
      </c>
      <c r="W88" s="642">
        <f t="shared" si="18"/>
        <v>0</v>
      </c>
      <c r="X88" s="642">
        <f t="shared" si="18"/>
        <v>2571218.257142857</v>
      </c>
      <c r="Y88" s="642">
        <f t="shared" si="18"/>
        <v>0</v>
      </c>
      <c r="Z88" s="642">
        <f t="shared" si="18"/>
        <v>0</v>
      </c>
      <c r="AA88" s="642">
        <f t="shared" si="18"/>
        <v>6506250</v>
      </c>
      <c r="AB88" s="642">
        <f t="shared" si="18"/>
        <v>0</v>
      </c>
      <c r="AC88" s="642">
        <f t="shared" si="18"/>
        <v>0</v>
      </c>
      <c r="AD88" s="642">
        <f t="shared" si="18"/>
        <v>179500</v>
      </c>
      <c r="AE88" s="642">
        <f t="shared" si="18"/>
        <v>0</v>
      </c>
      <c r="AF88" s="642">
        <f t="shared" si="18"/>
        <v>250000</v>
      </c>
      <c r="AG88" s="642">
        <f t="shared" si="18"/>
        <v>0</v>
      </c>
      <c r="AH88" s="642">
        <f t="shared" si="18"/>
        <v>0</v>
      </c>
      <c r="AI88" s="642">
        <f t="shared" si="18"/>
        <v>0</v>
      </c>
      <c r="AJ88" s="642">
        <f t="shared" si="18"/>
        <v>0</v>
      </c>
      <c r="AK88" s="642">
        <f t="shared" si="18"/>
        <v>0</v>
      </c>
      <c r="AL88" s="642">
        <f t="shared" si="18"/>
        <v>0</v>
      </c>
      <c r="AM88" s="642">
        <f t="shared" si="18"/>
        <v>202897.14285714284</v>
      </c>
      <c r="AN88" s="642">
        <f t="shared" si="18"/>
        <v>10852580.4</v>
      </c>
      <c r="AO88" s="642">
        <f t="shared" si="18"/>
        <v>96145.40000000001</v>
      </c>
      <c r="AP88" s="642">
        <f t="shared" si="18"/>
        <v>450000</v>
      </c>
      <c r="AQ88" s="642">
        <f t="shared" si="18"/>
        <v>0</v>
      </c>
      <c r="AR88" s="642">
        <f t="shared" si="18"/>
        <v>372900</v>
      </c>
      <c r="AS88" s="642">
        <f t="shared" si="18"/>
        <v>0</v>
      </c>
      <c r="AT88" s="642">
        <f t="shared" si="18"/>
        <v>9933535</v>
      </c>
    </row>
    <row r="91" spans="40:49" ht="11.25">
      <c r="AN91" s="550">
        <f>AO88+AP88+AQ88+AR88+AS88+AT88</f>
        <v>10852580.4</v>
      </c>
      <c r="AO91" s="550"/>
      <c r="AP91" s="550"/>
      <c r="AQ91" s="550"/>
      <c r="AR91" s="550"/>
      <c r="AS91" s="550"/>
      <c r="AT91" s="550"/>
      <c r="AU91" s="550"/>
      <c r="AV91" s="550"/>
      <c r="AW91" s="550"/>
    </row>
    <row r="95" ht="11.25">
      <c r="AO95" s="549" t="s">
        <v>33</v>
      </c>
    </row>
  </sheetData>
  <sheetProtection/>
  <mergeCells count="71">
    <mergeCell ref="F25:F26"/>
    <mergeCell ref="D27:D29"/>
    <mergeCell ref="D30:D31"/>
    <mergeCell ref="D32:D33"/>
    <mergeCell ref="A43:AT43"/>
    <mergeCell ref="C30:C31"/>
    <mergeCell ref="D23:D26"/>
    <mergeCell ref="D35:D37"/>
    <mergeCell ref="D38:D41"/>
    <mergeCell ref="C35:C37"/>
    <mergeCell ref="C38:C41"/>
    <mergeCell ref="C32:C33"/>
    <mergeCell ref="C23:C26"/>
    <mergeCell ref="G32:G33"/>
    <mergeCell ref="C20:C22"/>
    <mergeCell ref="V4:AA4"/>
    <mergeCell ref="V5:X5"/>
    <mergeCell ref="Y5:AA5"/>
    <mergeCell ref="D10:D19"/>
    <mergeCell ref="C10:C19"/>
    <mergeCell ref="D20:D22"/>
    <mergeCell ref="E4:F7"/>
    <mergeCell ref="A9:AT9"/>
    <mergeCell ref="AN3:AN7"/>
    <mergeCell ref="A4:A7"/>
    <mergeCell ref="B4:B7"/>
    <mergeCell ref="C4:D7"/>
    <mergeCell ref="AM3:AM7"/>
    <mergeCell ref="AJ5:AL5"/>
    <mergeCell ref="AE3:AL4"/>
    <mergeCell ref="B2:R2"/>
    <mergeCell ref="I3:L3"/>
    <mergeCell ref="M3:AD3"/>
    <mergeCell ref="AB4:AD6"/>
    <mergeCell ref="A3:F3"/>
    <mergeCell ref="G5:G7"/>
    <mergeCell ref="AP6:AS6"/>
    <mergeCell ref="I4:L5"/>
    <mergeCell ref="M4:U5"/>
    <mergeCell ref="AF5:AF7"/>
    <mergeCell ref="AG5:AI5"/>
    <mergeCell ref="AO3:AT5"/>
    <mergeCell ref="AE5:AE7"/>
    <mergeCell ref="B66:B86"/>
    <mergeCell ref="D66:D71"/>
    <mergeCell ref="C81:C86"/>
    <mergeCell ref="D81:D86"/>
    <mergeCell ref="C62:C63"/>
    <mergeCell ref="C64:F64"/>
    <mergeCell ref="C66:C75"/>
    <mergeCell ref="D72:D75"/>
    <mergeCell ref="D56:D58"/>
    <mergeCell ref="C47:C49"/>
    <mergeCell ref="D47:D49"/>
    <mergeCell ref="C56:C58"/>
    <mergeCell ref="C76:C80"/>
    <mergeCell ref="D76:D80"/>
    <mergeCell ref="A65:AT65"/>
    <mergeCell ref="H66:H67"/>
    <mergeCell ref="D62:D63"/>
    <mergeCell ref="A66:A86"/>
    <mergeCell ref="C59:C61"/>
    <mergeCell ref="D59:D61"/>
    <mergeCell ref="A44:A63"/>
    <mergeCell ref="B44:B63"/>
    <mergeCell ref="C50:C51"/>
    <mergeCell ref="D50:D51"/>
    <mergeCell ref="C52:C55"/>
    <mergeCell ref="C44:C46"/>
    <mergeCell ref="D44:D46"/>
    <mergeCell ref="D52:D55"/>
  </mergeCells>
  <printOption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dimension ref="A1:AY44"/>
  <sheetViews>
    <sheetView zoomScalePageLayoutView="0" workbookViewId="0" topLeftCell="A1">
      <selection activeCell="G11" sqref="G11"/>
    </sheetView>
  </sheetViews>
  <sheetFormatPr defaultColWidth="9.140625" defaultRowHeight="15"/>
  <cols>
    <col min="1" max="1" width="7.140625" style="23" customWidth="1"/>
    <col min="2" max="2" width="4.7109375" style="147" customWidth="1"/>
    <col min="3" max="3" width="25.28125" style="34" customWidth="1"/>
    <col min="4" max="4" width="4.140625" style="40" customWidth="1"/>
    <col min="5" max="5" width="25.421875" style="10" customWidth="1"/>
    <col min="6" max="6" width="18.421875" style="10" customWidth="1"/>
    <col min="7" max="7" width="14.8515625" style="10" customWidth="1"/>
    <col min="8" max="8" width="10.421875" style="41" customWidth="1"/>
    <col min="9" max="9" width="9.421875" style="11" customWidth="1"/>
    <col min="10" max="10" width="7.28125" style="11" customWidth="1"/>
    <col min="11" max="11" width="13.8515625" style="41" customWidth="1"/>
    <col min="12" max="12" width="10.00390625" style="1" customWidth="1"/>
    <col min="13" max="13" width="11.421875" style="1" customWidth="1"/>
    <col min="14" max="14" width="10.8515625" style="1" customWidth="1"/>
    <col min="15" max="15" width="11.8515625" style="1" customWidth="1"/>
    <col min="16" max="16" width="14.28125" style="1" customWidth="1"/>
    <col min="17" max="17" width="12.8515625" style="1" customWidth="1"/>
    <col min="18" max="19" width="11.57421875" style="1" customWidth="1"/>
    <col min="20" max="20" width="10.7109375" style="36" customWidth="1"/>
    <col min="21" max="21" width="9.8515625" style="36" customWidth="1"/>
    <col min="22" max="22" width="9.00390625" style="36" customWidth="1"/>
    <col min="23" max="23" width="12.421875" style="36" customWidth="1"/>
    <col min="24" max="24" width="8.8515625" style="35" customWidth="1"/>
    <col min="25" max="25" width="9.140625" style="35" customWidth="1"/>
    <col min="26" max="26" width="12.7109375" style="35" customWidth="1"/>
    <col min="27" max="27" width="10.421875" style="35" customWidth="1"/>
    <col min="28" max="28" width="10.28125" style="35" customWidth="1"/>
    <col min="29" max="29" width="12.57421875" style="35" customWidth="1"/>
    <col min="30" max="30" width="15.28125" style="35" customWidth="1"/>
    <col min="31" max="31" width="12.57421875" style="35" customWidth="1"/>
    <col min="32" max="32" width="7.28125" style="35" customWidth="1"/>
    <col min="33" max="33" width="13.140625" style="35" customWidth="1"/>
    <col min="34" max="34" width="12.00390625" style="35" customWidth="1"/>
    <col min="35" max="35" width="6.8515625" style="35" customWidth="1"/>
    <col min="36" max="36" width="11.00390625" style="35" customWidth="1"/>
    <col min="37" max="37" width="10.7109375" style="35" customWidth="1"/>
    <col min="38" max="38" width="14.00390625" style="60" customWidth="1"/>
    <col min="39" max="39" width="15.140625" style="35" customWidth="1"/>
    <col min="40" max="40" width="16.28125" style="35" customWidth="1"/>
    <col min="41" max="42" width="14.57421875" style="35" customWidth="1"/>
    <col min="43" max="43" width="13.00390625" style="361" customWidth="1"/>
    <col min="44" max="44" width="13.00390625" style="35" customWidth="1"/>
    <col min="45" max="45" width="14.8515625" style="38" customWidth="1"/>
    <col min="46" max="46" width="2.57421875" style="3" hidden="1" customWidth="1"/>
    <col min="47" max="47" width="10.7109375" style="35" hidden="1" customWidth="1"/>
    <col min="48" max="48" width="10.140625" style="35" hidden="1" customWidth="1"/>
    <col min="49" max="49" width="11.28125" style="35" hidden="1" customWidth="1"/>
    <col min="50" max="50" width="12.28125" style="3" hidden="1" customWidth="1"/>
    <col min="51" max="16384" width="9.140625" style="3" customWidth="1"/>
  </cols>
  <sheetData>
    <row r="1" spans="1:49" s="45" customFormat="1" ht="11.25">
      <c r="A1" s="55"/>
      <c r="B1" s="129"/>
      <c r="C1" s="25"/>
      <c r="D1" s="46"/>
      <c r="E1" s="47"/>
      <c r="F1" s="47"/>
      <c r="G1" s="47"/>
      <c r="H1" s="48"/>
      <c r="I1" s="49"/>
      <c r="J1" s="49"/>
      <c r="K1" s="48"/>
      <c r="L1" s="50"/>
      <c r="M1" s="50"/>
      <c r="N1" s="50"/>
      <c r="O1" s="50"/>
      <c r="P1" s="50"/>
      <c r="Q1" s="50"/>
      <c r="R1" s="50"/>
      <c r="S1" s="50"/>
      <c r="T1" s="51"/>
      <c r="U1" s="51"/>
      <c r="V1" s="51"/>
      <c r="W1" s="51"/>
      <c r="X1" s="52"/>
      <c r="Y1" s="52"/>
      <c r="Z1" s="52"/>
      <c r="AA1" s="52"/>
      <c r="AB1" s="52"/>
      <c r="AC1" s="52"/>
      <c r="AD1" s="52"/>
      <c r="AE1" s="52"/>
      <c r="AF1" s="52"/>
      <c r="AG1" s="52"/>
      <c r="AH1" s="52"/>
      <c r="AI1" s="52"/>
      <c r="AJ1" s="52"/>
      <c r="AK1" s="52"/>
      <c r="AL1" s="59"/>
      <c r="AM1" s="52"/>
      <c r="AN1" s="52"/>
      <c r="AO1" s="52"/>
      <c r="AP1" s="52"/>
      <c r="AQ1" s="360"/>
      <c r="AR1" s="52"/>
      <c r="AS1" s="53"/>
      <c r="AU1" s="52"/>
      <c r="AV1" s="52"/>
      <c r="AW1" s="52"/>
    </row>
    <row r="2" spans="1:49" s="45" customFormat="1" ht="13.5" thickBot="1">
      <c r="A2" s="56"/>
      <c r="B2" s="1129"/>
      <c r="C2" s="1129"/>
      <c r="D2" s="1129"/>
      <c r="E2" s="1129"/>
      <c r="F2" s="1129"/>
      <c r="G2" s="1129"/>
      <c r="H2" s="1129"/>
      <c r="I2" s="1129"/>
      <c r="J2" s="1129"/>
      <c r="K2" s="1129"/>
      <c r="L2" s="1129"/>
      <c r="M2" s="1129"/>
      <c r="N2" s="1129"/>
      <c r="O2" s="1129"/>
      <c r="P2" s="1129"/>
      <c r="Q2" s="1129"/>
      <c r="R2" s="54"/>
      <c r="S2" s="54"/>
      <c r="T2" s="54"/>
      <c r="U2" s="54"/>
      <c r="V2" s="54"/>
      <c r="W2" s="54"/>
      <c r="X2" s="54"/>
      <c r="Y2" s="54"/>
      <c r="Z2" s="54"/>
      <c r="AA2" s="54"/>
      <c r="AB2" s="54"/>
      <c r="AC2" s="54"/>
      <c r="AD2" s="54"/>
      <c r="AE2" s="54"/>
      <c r="AF2" s="54"/>
      <c r="AG2" s="54"/>
      <c r="AH2" s="54"/>
      <c r="AI2" s="54"/>
      <c r="AJ2" s="54"/>
      <c r="AK2" s="54"/>
      <c r="AL2" s="54"/>
      <c r="AM2" s="52"/>
      <c r="AN2" s="52"/>
      <c r="AO2" s="52"/>
      <c r="AP2" s="52"/>
      <c r="AQ2" s="360"/>
      <c r="AR2" s="52"/>
      <c r="AS2" s="53"/>
      <c r="AU2" s="52"/>
      <c r="AV2" s="52"/>
      <c r="AW2" s="52"/>
    </row>
    <row r="3" spans="1:50" s="15" customFormat="1" ht="22.5" customHeight="1">
      <c r="A3" s="1130"/>
      <c r="B3" s="1131"/>
      <c r="C3" s="1131"/>
      <c r="D3" s="1131"/>
      <c r="E3" s="1132"/>
      <c r="F3" s="738"/>
      <c r="G3" s="656"/>
      <c r="H3" s="1055" t="s">
        <v>228</v>
      </c>
      <c r="I3" s="1056"/>
      <c r="J3" s="1056"/>
      <c r="K3" s="1057"/>
      <c r="L3" s="1055" t="s">
        <v>509</v>
      </c>
      <c r="M3" s="1056"/>
      <c r="N3" s="1056"/>
      <c r="O3" s="1056"/>
      <c r="P3" s="1056"/>
      <c r="Q3" s="1056"/>
      <c r="R3" s="1056"/>
      <c r="S3" s="1056"/>
      <c r="T3" s="1056"/>
      <c r="U3" s="1056"/>
      <c r="V3" s="1056"/>
      <c r="W3" s="1056"/>
      <c r="X3" s="1056"/>
      <c r="Y3" s="1056"/>
      <c r="Z3" s="1056"/>
      <c r="AA3" s="1056"/>
      <c r="AB3" s="1056"/>
      <c r="AC3" s="1057"/>
      <c r="AD3" s="1023" t="s">
        <v>322</v>
      </c>
      <c r="AE3" s="1024"/>
      <c r="AF3" s="1024"/>
      <c r="AG3" s="1024"/>
      <c r="AH3" s="1024"/>
      <c r="AI3" s="1024"/>
      <c r="AJ3" s="1024"/>
      <c r="AK3" s="1025"/>
      <c r="AL3" s="1112" t="s">
        <v>259</v>
      </c>
      <c r="AM3" s="1112" t="s">
        <v>258</v>
      </c>
      <c r="AN3" s="1107" t="s">
        <v>325</v>
      </c>
      <c r="AO3" s="1107"/>
      <c r="AP3" s="1107"/>
      <c r="AQ3" s="1107"/>
      <c r="AR3" s="1108"/>
      <c r="AS3" s="1109"/>
      <c r="AU3" s="1114" t="s">
        <v>11</v>
      </c>
      <c r="AV3" s="1115"/>
      <c r="AW3" s="1115"/>
      <c r="AX3" s="1116"/>
    </row>
    <row r="4" spans="1:50" s="5" customFormat="1" ht="11.25" customHeight="1">
      <c r="A4" s="1104" t="s">
        <v>12</v>
      </c>
      <c r="B4" s="1123" t="s">
        <v>229</v>
      </c>
      <c r="C4" s="1124"/>
      <c r="D4" s="1123" t="s">
        <v>695</v>
      </c>
      <c r="E4" s="1124"/>
      <c r="F4" s="739"/>
      <c r="G4" s="657"/>
      <c r="H4" s="1042" t="s">
        <v>232</v>
      </c>
      <c r="I4" s="1043"/>
      <c r="J4" s="1043"/>
      <c r="K4" s="1044"/>
      <c r="L4" s="1075" t="s">
        <v>237</v>
      </c>
      <c r="M4" s="1090"/>
      <c r="N4" s="1090"/>
      <c r="O4" s="1090"/>
      <c r="P4" s="1090"/>
      <c r="Q4" s="1090"/>
      <c r="R4" s="1090"/>
      <c r="S4" s="1090"/>
      <c r="T4" s="1076"/>
      <c r="U4" s="1015" t="s">
        <v>312</v>
      </c>
      <c r="V4" s="1016"/>
      <c r="W4" s="1016"/>
      <c r="X4" s="1016"/>
      <c r="Y4" s="1016"/>
      <c r="Z4" s="1017"/>
      <c r="AA4" s="1034" t="s">
        <v>395</v>
      </c>
      <c r="AB4" s="1035"/>
      <c r="AC4" s="1036"/>
      <c r="AD4" s="1026"/>
      <c r="AE4" s="1027"/>
      <c r="AF4" s="1027"/>
      <c r="AG4" s="1027"/>
      <c r="AH4" s="1027"/>
      <c r="AI4" s="1027"/>
      <c r="AJ4" s="1027"/>
      <c r="AK4" s="1028"/>
      <c r="AL4" s="1113"/>
      <c r="AM4" s="1113"/>
      <c r="AN4" s="1110"/>
      <c r="AO4" s="1110"/>
      <c r="AP4" s="1110"/>
      <c r="AQ4" s="1110"/>
      <c r="AR4" s="1015"/>
      <c r="AS4" s="1111"/>
      <c r="AU4" s="1117"/>
      <c r="AV4" s="1118"/>
      <c r="AW4" s="1118"/>
      <c r="AX4" s="1119"/>
    </row>
    <row r="5" spans="1:50" s="5" customFormat="1" ht="11.25" customHeight="1">
      <c r="A5" s="1105"/>
      <c r="B5" s="1125"/>
      <c r="C5" s="1126"/>
      <c r="D5" s="1125"/>
      <c r="E5" s="1126"/>
      <c r="F5" s="740"/>
      <c r="G5" s="1040" t="s">
        <v>508</v>
      </c>
      <c r="H5" s="1045"/>
      <c r="I5" s="1046"/>
      <c r="J5" s="1046"/>
      <c r="K5" s="1047"/>
      <c r="L5" s="1079"/>
      <c r="M5" s="1091"/>
      <c r="N5" s="1091"/>
      <c r="O5" s="1091"/>
      <c r="P5" s="1091"/>
      <c r="Q5" s="1091"/>
      <c r="R5" s="1091"/>
      <c r="S5" s="1091"/>
      <c r="T5" s="1080"/>
      <c r="U5" s="1015" t="s">
        <v>244</v>
      </c>
      <c r="V5" s="1016"/>
      <c r="W5" s="1017"/>
      <c r="X5" s="1015" t="s">
        <v>245</v>
      </c>
      <c r="Y5" s="1016"/>
      <c r="Z5" s="1017"/>
      <c r="AA5" s="1037"/>
      <c r="AB5" s="1038"/>
      <c r="AC5" s="1039"/>
      <c r="AD5" s="1032" t="s">
        <v>396</v>
      </c>
      <c r="AE5" s="1032" t="s">
        <v>250</v>
      </c>
      <c r="AF5" s="1015" t="s">
        <v>253</v>
      </c>
      <c r="AG5" s="1016"/>
      <c r="AH5" s="1017"/>
      <c r="AI5" s="1015" t="s">
        <v>256</v>
      </c>
      <c r="AJ5" s="1016"/>
      <c r="AK5" s="1017"/>
      <c r="AL5" s="1113"/>
      <c r="AM5" s="1113"/>
      <c r="AN5" s="1110"/>
      <c r="AO5" s="1110"/>
      <c r="AP5" s="1110"/>
      <c r="AQ5" s="1110"/>
      <c r="AR5" s="1015"/>
      <c r="AS5" s="1111"/>
      <c r="AU5" s="1120"/>
      <c r="AV5" s="1121"/>
      <c r="AW5" s="1121"/>
      <c r="AX5" s="1122"/>
    </row>
    <row r="6" spans="1:50" s="5" customFormat="1" ht="11.25">
      <c r="A6" s="1105"/>
      <c r="B6" s="1125"/>
      <c r="C6" s="1126"/>
      <c r="D6" s="1125"/>
      <c r="E6" s="1126"/>
      <c r="F6" s="740"/>
      <c r="G6" s="1040"/>
      <c r="H6" s="773"/>
      <c r="I6" s="774"/>
      <c r="J6" s="774"/>
      <c r="K6" s="775"/>
      <c r="L6" s="771"/>
      <c r="M6" s="784"/>
      <c r="N6" s="784"/>
      <c r="O6" s="784"/>
      <c r="P6" s="784"/>
      <c r="Q6" s="784"/>
      <c r="R6" s="784"/>
      <c r="S6" s="784"/>
      <c r="T6" s="772"/>
      <c r="U6" s="776"/>
      <c r="V6" s="777"/>
      <c r="W6" s="778"/>
      <c r="X6" s="776"/>
      <c r="Y6" s="777"/>
      <c r="Z6" s="778"/>
      <c r="AA6" s="779"/>
      <c r="AB6" s="780"/>
      <c r="AC6" s="781"/>
      <c r="AD6" s="1113"/>
      <c r="AE6" s="1113"/>
      <c r="AF6" s="741"/>
      <c r="AG6" s="742"/>
      <c r="AH6" s="743"/>
      <c r="AI6" s="741"/>
      <c r="AJ6" s="742"/>
      <c r="AK6" s="743"/>
      <c r="AL6" s="1113"/>
      <c r="AM6" s="1113"/>
      <c r="AN6" s="1032" t="s">
        <v>261</v>
      </c>
      <c r="AO6" s="1015" t="s">
        <v>510</v>
      </c>
      <c r="AP6" s="1016"/>
      <c r="AQ6" s="1016"/>
      <c r="AR6" s="1017"/>
      <c r="AS6" s="744"/>
      <c r="AU6" s="352"/>
      <c r="AV6" s="353"/>
      <c r="AW6" s="353"/>
      <c r="AX6" s="354"/>
    </row>
    <row r="7" spans="1:50" s="4" customFormat="1" ht="63" customHeight="1">
      <c r="A7" s="1106"/>
      <c r="B7" s="1127"/>
      <c r="C7" s="1128"/>
      <c r="D7" s="1127"/>
      <c r="E7" s="1128"/>
      <c r="F7" s="783" t="s">
        <v>507</v>
      </c>
      <c r="G7" s="1041"/>
      <c r="H7" s="658" t="s">
        <v>233</v>
      </c>
      <c r="I7" s="659" t="s">
        <v>234</v>
      </c>
      <c r="J7" s="659" t="s">
        <v>235</v>
      </c>
      <c r="K7" s="659" t="s">
        <v>236</v>
      </c>
      <c r="L7" s="659" t="s">
        <v>238</v>
      </c>
      <c r="M7" s="659" t="s">
        <v>239</v>
      </c>
      <c r="N7" s="659" t="s">
        <v>240</v>
      </c>
      <c r="O7" s="659" t="s">
        <v>241</v>
      </c>
      <c r="P7" s="659" t="s">
        <v>392</v>
      </c>
      <c r="Q7" s="659" t="s">
        <v>393</v>
      </c>
      <c r="R7" s="659" t="s">
        <v>242</v>
      </c>
      <c r="S7" s="659" t="s">
        <v>321</v>
      </c>
      <c r="T7" s="782" t="s">
        <v>1</v>
      </c>
      <c r="U7" s="659" t="s">
        <v>246</v>
      </c>
      <c r="V7" s="782" t="s">
        <v>0</v>
      </c>
      <c r="W7" s="782" t="s">
        <v>2</v>
      </c>
      <c r="X7" s="659" t="s">
        <v>246</v>
      </c>
      <c r="Y7" s="782" t="s">
        <v>0</v>
      </c>
      <c r="Z7" s="782" t="s">
        <v>1</v>
      </c>
      <c r="AA7" s="782" t="s">
        <v>248</v>
      </c>
      <c r="AB7" s="782" t="s">
        <v>249</v>
      </c>
      <c r="AC7" s="782" t="s">
        <v>1</v>
      </c>
      <c r="AD7" s="1033"/>
      <c r="AE7" s="1033"/>
      <c r="AF7" s="658" t="s">
        <v>254</v>
      </c>
      <c r="AG7" s="658" t="s">
        <v>255</v>
      </c>
      <c r="AH7" s="658" t="s">
        <v>243</v>
      </c>
      <c r="AI7" s="658" t="s">
        <v>257</v>
      </c>
      <c r="AJ7" s="658" t="s">
        <v>255</v>
      </c>
      <c r="AK7" s="658" t="s">
        <v>243</v>
      </c>
      <c r="AL7" s="1033"/>
      <c r="AM7" s="1033"/>
      <c r="AN7" s="1033"/>
      <c r="AO7" s="745" t="s">
        <v>152</v>
      </c>
      <c r="AP7" s="745" t="s">
        <v>204</v>
      </c>
      <c r="AQ7" s="658" t="s">
        <v>205</v>
      </c>
      <c r="AR7" s="742" t="s">
        <v>209</v>
      </c>
      <c r="AS7" s="744" t="s">
        <v>262</v>
      </c>
      <c r="AU7" s="165" t="s">
        <v>13</v>
      </c>
      <c r="AV7" s="166" t="s">
        <v>14</v>
      </c>
      <c r="AW7" s="167" t="s">
        <v>15</v>
      </c>
      <c r="AX7" s="167" t="s">
        <v>16</v>
      </c>
    </row>
    <row r="8" spans="1:50" s="12" customFormat="1" ht="12" customHeight="1">
      <c r="A8" s="351" t="s">
        <v>5</v>
      </c>
      <c r="B8" s="355" t="s">
        <v>7</v>
      </c>
      <c r="C8" s="26" t="s">
        <v>8</v>
      </c>
      <c r="D8" s="43" t="s">
        <v>9</v>
      </c>
      <c r="E8" s="44" t="s">
        <v>10</v>
      </c>
      <c r="F8" s="44"/>
      <c r="G8" s="168"/>
      <c r="H8" s="16">
        <v>1</v>
      </c>
      <c r="I8" s="16">
        <v>2</v>
      </c>
      <c r="J8" s="16">
        <v>3</v>
      </c>
      <c r="K8" s="16">
        <v>4</v>
      </c>
      <c r="L8" s="16">
        <v>5</v>
      </c>
      <c r="M8" s="16">
        <v>6</v>
      </c>
      <c r="N8" s="16">
        <v>7</v>
      </c>
      <c r="O8" s="16">
        <v>8</v>
      </c>
      <c r="P8" s="16">
        <v>9</v>
      </c>
      <c r="Q8" s="16">
        <v>10</v>
      </c>
      <c r="R8" s="16">
        <v>11</v>
      </c>
      <c r="S8" s="16">
        <v>12</v>
      </c>
      <c r="T8" s="16">
        <v>13</v>
      </c>
      <c r="U8" s="16">
        <v>14</v>
      </c>
      <c r="V8" s="16">
        <v>15</v>
      </c>
      <c r="W8" s="16">
        <v>16</v>
      </c>
      <c r="X8" s="16">
        <v>17</v>
      </c>
      <c r="Y8" s="16">
        <v>18</v>
      </c>
      <c r="Z8" s="16">
        <v>19</v>
      </c>
      <c r="AA8" s="16">
        <v>20</v>
      </c>
      <c r="AB8" s="16">
        <v>21</v>
      </c>
      <c r="AC8" s="16">
        <v>22</v>
      </c>
      <c r="AD8" s="16">
        <v>23</v>
      </c>
      <c r="AE8" s="16">
        <v>24</v>
      </c>
      <c r="AF8" s="16">
        <v>25</v>
      </c>
      <c r="AG8" s="16">
        <v>26</v>
      </c>
      <c r="AH8" s="16">
        <v>27</v>
      </c>
      <c r="AI8" s="16">
        <v>28</v>
      </c>
      <c r="AJ8" s="16">
        <v>29</v>
      </c>
      <c r="AK8" s="16">
        <v>30</v>
      </c>
      <c r="AL8" s="16">
        <v>31</v>
      </c>
      <c r="AM8" s="16">
        <v>32</v>
      </c>
      <c r="AN8" s="16">
        <v>33</v>
      </c>
      <c r="AO8" s="16">
        <v>34</v>
      </c>
      <c r="AP8" s="16">
        <v>35</v>
      </c>
      <c r="AQ8" s="16">
        <v>36</v>
      </c>
      <c r="AR8" s="16">
        <v>37</v>
      </c>
      <c r="AS8" s="16">
        <v>38</v>
      </c>
      <c r="AU8" s="20">
        <v>47</v>
      </c>
      <c r="AV8" s="20">
        <v>48</v>
      </c>
      <c r="AW8" s="21">
        <v>49</v>
      </c>
      <c r="AX8" s="21">
        <v>50</v>
      </c>
    </row>
    <row r="9" spans="1:50" s="12" customFormat="1" ht="17.25" customHeight="1" thickBot="1">
      <c r="A9" s="1135" t="s">
        <v>511</v>
      </c>
      <c r="B9" s="1135"/>
      <c r="C9" s="1135"/>
      <c r="D9" s="1135"/>
      <c r="E9" s="1135"/>
      <c r="F9" s="1135"/>
      <c r="G9" s="1135"/>
      <c r="H9" s="1135"/>
      <c r="I9" s="1135"/>
      <c r="J9" s="1135"/>
      <c r="K9" s="1135"/>
      <c r="L9" s="1135"/>
      <c r="M9" s="1135"/>
      <c r="N9" s="1135"/>
      <c r="O9" s="1135"/>
      <c r="P9" s="1135"/>
      <c r="Q9" s="1135"/>
      <c r="R9" s="1135"/>
      <c r="S9" s="1135"/>
      <c r="T9" s="1135"/>
      <c r="U9" s="1135"/>
      <c r="V9" s="1135"/>
      <c r="W9" s="1135"/>
      <c r="X9" s="1135"/>
      <c r="Y9" s="1135"/>
      <c r="Z9" s="1135"/>
      <c r="AA9" s="1135"/>
      <c r="AB9" s="1135"/>
      <c r="AC9" s="1135"/>
      <c r="AD9" s="1135"/>
      <c r="AE9" s="1135"/>
      <c r="AF9" s="1135"/>
      <c r="AG9" s="1135"/>
      <c r="AH9" s="1135"/>
      <c r="AI9" s="1135"/>
      <c r="AJ9" s="1135"/>
      <c r="AK9" s="1135"/>
      <c r="AL9" s="1135"/>
      <c r="AM9" s="1135"/>
      <c r="AN9" s="1135"/>
      <c r="AO9" s="1135"/>
      <c r="AP9" s="1135"/>
      <c r="AQ9" s="1135"/>
      <c r="AR9" s="1135"/>
      <c r="AS9" s="1136"/>
      <c r="AT9" s="159"/>
      <c r="AU9" s="20"/>
      <c r="AV9" s="16"/>
      <c r="AW9" s="21"/>
      <c r="AX9" s="21"/>
    </row>
    <row r="10" spans="1:51" s="6" customFormat="1" ht="26.25" thickBot="1">
      <c r="A10" s="163"/>
      <c r="B10" s="1138">
        <v>5.1</v>
      </c>
      <c r="C10" s="1133" t="s">
        <v>512</v>
      </c>
      <c r="D10" s="28"/>
      <c r="E10" s="28" t="s">
        <v>513</v>
      </c>
      <c r="F10" s="28">
        <v>5.1</v>
      </c>
      <c r="G10" s="28"/>
      <c r="H10" s="144"/>
      <c r="I10" s="178"/>
      <c r="J10" s="178"/>
      <c r="K10" s="170">
        <f>H10*I10*J10</f>
        <v>0</v>
      </c>
      <c r="L10" s="162"/>
      <c r="M10" s="183"/>
      <c r="N10" s="183"/>
      <c r="O10" s="183"/>
      <c r="P10" s="183"/>
      <c r="Q10" s="183"/>
      <c r="R10" s="183"/>
      <c r="S10" s="183"/>
      <c r="T10" s="70">
        <f>(L10*M10*O10)+(L10*M10*N10*P10)+(L10*M10*N10*Q10)+(L10*N10*R10)+(L10*M10*S10)</f>
        <v>0</v>
      </c>
      <c r="U10" s="179"/>
      <c r="V10" s="179"/>
      <c r="W10" s="58">
        <f>U10*V10</f>
        <v>0</v>
      </c>
      <c r="X10" s="179"/>
      <c r="Y10" s="179"/>
      <c r="Z10" s="58">
        <v>286960</v>
      </c>
      <c r="AA10" s="180"/>
      <c r="AB10" s="184"/>
      <c r="AC10" s="58">
        <f>AA10*AB10</f>
        <v>0</v>
      </c>
      <c r="AD10" s="181"/>
      <c r="AE10" s="181"/>
      <c r="AF10" s="649"/>
      <c r="AG10" s="649"/>
      <c r="AH10" s="58"/>
      <c r="AI10" s="649"/>
      <c r="AJ10" s="649"/>
      <c r="AK10" s="58"/>
      <c r="AL10" s="181"/>
      <c r="AM10" s="58">
        <f>K10+T10+W10+Z10+AC10+AH10+AK10+AL10+AD10+AE10</f>
        <v>286960</v>
      </c>
      <c r="AN10" s="76"/>
      <c r="AO10" s="99"/>
      <c r="AP10" s="76"/>
      <c r="AQ10" s="182"/>
      <c r="AR10" s="182">
        <f>AM10</f>
        <v>286960</v>
      </c>
      <c r="AS10" s="172">
        <f>AM10-AN10-AO10-AP10-AQ10-AR10</f>
        <v>0</v>
      </c>
      <c r="AU10" s="364">
        <f>AM10*1</f>
        <v>286960</v>
      </c>
      <c r="AV10" s="364"/>
      <c r="AW10" s="364"/>
      <c r="AX10" s="364"/>
      <c r="AY10" s="365"/>
    </row>
    <row r="11" spans="1:51" s="6" customFormat="1" ht="26.25" thickBot="1">
      <c r="A11" s="163"/>
      <c r="B11" s="1138"/>
      <c r="C11" s="1133"/>
      <c r="D11" s="17"/>
      <c r="E11" s="29" t="s">
        <v>514</v>
      </c>
      <c r="F11" s="29">
        <v>5.1</v>
      </c>
      <c r="G11" s="28"/>
      <c r="H11" s="185">
        <v>81</v>
      </c>
      <c r="I11" s="178">
        <v>680</v>
      </c>
      <c r="J11" s="178">
        <v>24</v>
      </c>
      <c r="K11" s="170">
        <f>I11*J11*H11</f>
        <v>1321920</v>
      </c>
      <c r="L11" s="162"/>
      <c r="M11" s="343"/>
      <c r="N11" s="183"/>
      <c r="O11" s="183"/>
      <c r="P11" s="183"/>
      <c r="Q11" s="183"/>
      <c r="R11" s="183"/>
      <c r="S11" s="183"/>
      <c r="T11" s="70">
        <f aca="true" t="shared" si="0" ref="T11:T34">(L11*M11*O11)+(L11*M11*N11*P11)+(L11*M11*N11*Q11)+(L11*N11*R11)+(L11*M11*S11)</f>
        <v>0</v>
      </c>
      <c r="U11" s="179"/>
      <c r="V11" s="179"/>
      <c r="W11" s="58">
        <f aca="true" t="shared" si="1" ref="W11:W34">U11*V11</f>
        <v>0</v>
      </c>
      <c r="X11" s="179"/>
      <c r="Y11" s="179"/>
      <c r="Z11" s="58">
        <f>121536</f>
        <v>121536</v>
      </c>
      <c r="AA11" s="180"/>
      <c r="AB11" s="180"/>
      <c r="AC11" s="58">
        <v>136728</v>
      </c>
      <c r="AD11" s="181">
        <v>282740</v>
      </c>
      <c r="AE11" s="181">
        <v>317015</v>
      </c>
      <c r="AF11" s="649"/>
      <c r="AG11" s="649"/>
      <c r="AH11" s="58">
        <v>131487</v>
      </c>
      <c r="AI11" s="649"/>
      <c r="AJ11" s="649"/>
      <c r="AK11" s="58">
        <f>(30000*0.844)*2</f>
        <v>50640</v>
      </c>
      <c r="AL11" s="181">
        <f>33760+716850+40934</f>
        <v>791544</v>
      </c>
      <c r="AM11" s="58">
        <f>K11+T11+W11+Z11+AC11+AH11+AK11+AL11+AD11+AE11</f>
        <v>3153610</v>
      </c>
      <c r="AN11" s="186">
        <f>K11+716850</f>
        <v>2038770</v>
      </c>
      <c r="AO11" s="367"/>
      <c r="AP11" s="368"/>
      <c r="AQ11" s="99">
        <v>485722</v>
      </c>
      <c r="AR11" s="182">
        <v>629118</v>
      </c>
      <c r="AS11" s="172">
        <f aca="true" t="shared" si="2" ref="AS11:AS34">AM11-AN11-AO11-AP11-AQ11-AR11</f>
        <v>0</v>
      </c>
      <c r="AU11" s="364">
        <f>K11/2+341357+Z11+AD11+AE11+AH11+AK11</f>
        <v>1905735</v>
      </c>
      <c r="AV11" s="364">
        <f>AM11-AU11</f>
        <v>1247875</v>
      </c>
      <c r="AW11" s="364">
        <v>0.3</v>
      </c>
      <c r="AX11" s="364"/>
      <c r="AY11" s="365"/>
    </row>
    <row r="12" spans="1:51" s="7" customFormat="1" ht="38.25" customHeight="1" thickBot="1">
      <c r="A12" s="163"/>
      <c r="B12" s="1139"/>
      <c r="C12" s="1134"/>
      <c r="D12" s="28"/>
      <c r="E12" s="30" t="s">
        <v>515</v>
      </c>
      <c r="F12" s="30">
        <v>5.1</v>
      </c>
      <c r="G12" s="30"/>
      <c r="H12" s="185">
        <v>271</v>
      </c>
      <c r="I12" s="178">
        <v>650</v>
      </c>
      <c r="J12" s="178">
        <v>12</v>
      </c>
      <c r="K12" s="170">
        <f aca="true" t="shared" si="3" ref="K12:K34">I12*J12*H12</f>
        <v>2113800</v>
      </c>
      <c r="L12" s="139"/>
      <c r="M12" s="140"/>
      <c r="N12" s="79"/>
      <c r="O12" s="79"/>
      <c r="P12" s="79"/>
      <c r="Q12" s="79"/>
      <c r="R12" s="79"/>
      <c r="S12" s="79"/>
      <c r="T12" s="70">
        <f t="shared" si="0"/>
        <v>0</v>
      </c>
      <c r="U12" s="79"/>
      <c r="V12" s="79"/>
      <c r="W12" s="58">
        <f t="shared" si="1"/>
        <v>0</v>
      </c>
      <c r="X12" s="79"/>
      <c r="Y12" s="79"/>
      <c r="Z12" s="58">
        <f>X12*Y12</f>
        <v>0</v>
      </c>
      <c r="AA12" s="80"/>
      <c r="AB12" s="80"/>
      <c r="AC12" s="58">
        <f aca="true" t="shared" si="4" ref="AC12:AC34">AA12*AB12</f>
        <v>0</v>
      </c>
      <c r="AD12" s="652">
        <f>18000000</f>
        <v>18000000</v>
      </c>
      <c r="AE12" s="81"/>
      <c r="AF12" s="650"/>
      <c r="AG12" s="650"/>
      <c r="AH12" s="58">
        <f>AF12*AG12</f>
        <v>0</v>
      </c>
      <c r="AI12" s="650"/>
      <c r="AJ12" s="650"/>
      <c r="AK12" s="58">
        <f>AI12*AJ12</f>
        <v>0</v>
      </c>
      <c r="AL12" s="188">
        <v>2250800</v>
      </c>
      <c r="AM12" s="58">
        <f aca="true" t="shared" si="5" ref="AM12:AM34">K12+T12+W12+Z12+AC12+AH12+AK12+AL12+AD12+AE12</f>
        <v>22364600</v>
      </c>
      <c r="AN12" s="189">
        <f>K12+3000000+AL12</f>
        <v>7364600</v>
      </c>
      <c r="AO12" s="189"/>
      <c r="AP12" s="369"/>
      <c r="AQ12" s="189">
        <f>AM12-AN12</f>
        <v>15000000</v>
      </c>
      <c r="AR12" s="190"/>
      <c r="AS12" s="172">
        <f t="shared" si="2"/>
        <v>0</v>
      </c>
      <c r="AU12" s="364">
        <f>AD12*0.02</f>
        <v>360000</v>
      </c>
      <c r="AV12" s="364">
        <f>AD12*0.58</f>
        <v>10440000</v>
      </c>
      <c r="AW12" s="364">
        <f>AL12+K12+AD12*0.4</f>
        <v>11564600</v>
      </c>
      <c r="AX12" s="364"/>
      <c r="AY12" s="365"/>
    </row>
    <row r="13" spans="1:51" s="7" customFormat="1" ht="75.75" customHeight="1" thickBot="1">
      <c r="A13" s="672"/>
      <c r="B13" s="682">
        <v>5.2</v>
      </c>
      <c r="C13" s="30" t="s">
        <v>517</v>
      </c>
      <c r="D13" s="682"/>
      <c r="E13" s="30" t="s">
        <v>516</v>
      </c>
      <c r="F13" s="30" t="s">
        <v>518</v>
      </c>
      <c r="G13" s="28"/>
      <c r="H13" s="185"/>
      <c r="I13" s="178"/>
      <c r="J13" s="178"/>
      <c r="K13" s="170"/>
      <c r="L13" s="162"/>
      <c r="M13" s="183"/>
      <c r="N13" s="673"/>
      <c r="O13" s="673"/>
      <c r="P13" s="673"/>
      <c r="Q13" s="673"/>
      <c r="R13" s="673"/>
      <c r="S13" s="673"/>
      <c r="T13" s="88"/>
      <c r="U13" s="673"/>
      <c r="V13" s="673"/>
      <c r="W13" s="58"/>
      <c r="X13" s="673"/>
      <c r="Y13" s="673"/>
      <c r="Z13" s="58"/>
      <c r="AA13" s="674"/>
      <c r="AB13" s="674"/>
      <c r="AC13" s="58"/>
      <c r="AD13" s="675"/>
      <c r="AE13" s="676"/>
      <c r="AF13" s="677"/>
      <c r="AG13" s="677"/>
      <c r="AH13" s="58"/>
      <c r="AI13" s="677"/>
      <c r="AJ13" s="677"/>
      <c r="AK13" s="58"/>
      <c r="AL13" s="678"/>
      <c r="AM13" s="58"/>
      <c r="AN13" s="679" t="s">
        <v>33</v>
      </c>
      <c r="AO13" s="679"/>
      <c r="AP13" s="369"/>
      <c r="AQ13" s="679"/>
      <c r="AR13" s="190"/>
      <c r="AS13" s="680"/>
      <c r="AU13" s="681"/>
      <c r="AV13" s="681"/>
      <c r="AW13" s="681"/>
      <c r="AX13" s="681"/>
      <c r="AY13" s="365"/>
    </row>
    <row r="14" spans="1:51" s="152" customFormat="1" ht="18" customHeight="1">
      <c r="A14" s="463"/>
      <c r="B14" s="463"/>
      <c r="C14" s="464"/>
      <c r="D14" s="463"/>
      <c r="E14" s="464"/>
      <c r="F14" s="463"/>
      <c r="G14" s="465"/>
      <c r="H14" s="466"/>
      <c r="I14" s="466"/>
      <c r="J14" s="466"/>
      <c r="K14" s="458">
        <f aca="true" t="shared" si="6" ref="K14:AX14">SUM(K10:K12)</f>
        <v>3435720</v>
      </c>
      <c r="L14" s="458">
        <f t="shared" si="6"/>
        <v>0</v>
      </c>
      <c r="M14" s="458">
        <f t="shared" si="6"/>
        <v>0</v>
      </c>
      <c r="N14" s="458">
        <f t="shared" si="6"/>
        <v>0</v>
      </c>
      <c r="O14" s="458">
        <f t="shared" si="6"/>
        <v>0</v>
      </c>
      <c r="P14" s="458">
        <f t="shared" si="6"/>
        <v>0</v>
      </c>
      <c r="Q14" s="458">
        <f t="shared" si="6"/>
        <v>0</v>
      </c>
      <c r="R14" s="458">
        <f t="shared" si="6"/>
        <v>0</v>
      </c>
      <c r="S14" s="458">
        <f t="shared" si="6"/>
        <v>0</v>
      </c>
      <c r="T14" s="458">
        <f t="shared" si="6"/>
        <v>0</v>
      </c>
      <c r="U14" s="458">
        <f t="shared" si="6"/>
        <v>0</v>
      </c>
      <c r="V14" s="458">
        <f t="shared" si="6"/>
        <v>0</v>
      </c>
      <c r="W14" s="458">
        <f t="shared" si="6"/>
        <v>0</v>
      </c>
      <c r="X14" s="458">
        <f t="shared" si="6"/>
        <v>0</v>
      </c>
      <c r="Y14" s="458">
        <f t="shared" si="6"/>
        <v>0</v>
      </c>
      <c r="Z14" s="458">
        <f t="shared" si="6"/>
        <v>408496</v>
      </c>
      <c r="AA14" s="458">
        <f t="shared" si="6"/>
        <v>0</v>
      </c>
      <c r="AB14" s="458">
        <f t="shared" si="6"/>
        <v>0</v>
      </c>
      <c r="AC14" s="458">
        <f t="shared" si="6"/>
        <v>136728</v>
      </c>
      <c r="AD14" s="458">
        <f t="shared" si="6"/>
        <v>18282740</v>
      </c>
      <c r="AE14" s="458">
        <f t="shared" si="6"/>
        <v>317015</v>
      </c>
      <c r="AF14" s="458">
        <f t="shared" si="6"/>
        <v>0</v>
      </c>
      <c r="AG14" s="458">
        <f t="shared" si="6"/>
        <v>0</v>
      </c>
      <c r="AH14" s="458">
        <f t="shared" si="6"/>
        <v>131487</v>
      </c>
      <c r="AI14" s="458">
        <f t="shared" si="6"/>
        <v>0</v>
      </c>
      <c r="AJ14" s="458">
        <f t="shared" si="6"/>
        <v>0</v>
      </c>
      <c r="AK14" s="458">
        <f t="shared" si="6"/>
        <v>50640</v>
      </c>
      <c r="AL14" s="458">
        <f t="shared" si="6"/>
        <v>3042344</v>
      </c>
      <c r="AM14" s="458">
        <f t="shared" si="6"/>
        <v>25805170</v>
      </c>
      <c r="AN14" s="458">
        <f t="shared" si="6"/>
        <v>9403370</v>
      </c>
      <c r="AO14" s="458">
        <f t="shared" si="6"/>
        <v>0</v>
      </c>
      <c r="AP14" s="458">
        <f t="shared" si="6"/>
        <v>0</v>
      </c>
      <c r="AQ14" s="458">
        <f t="shared" si="6"/>
        <v>15485722</v>
      </c>
      <c r="AR14" s="458">
        <f t="shared" si="6"/>
        <v>916078</v>
      </c>
      <c r="AS14" s="458">
        <f t="shared" si="6"/>
        <v>0</v>
      </c>
      <c r="AT14" s="458">
        <f t="shared" si="6"/>
        <v>0</v>
      </c>
      <c r="AU14" s="458">
        <f t="shared" si="6"/>
        <v>2552695</v>
      </c>
      <c r="AV14" s="458">
        <f t="shared" si="6"/>
        <v>11687875</v>
      </c>
      <c r="AW14" s="458">
        <f t="shared" si="6"/>
        <v>11564600.3</v>
      </c>
      <c r="AX14" s="458">
        <f t="shared" si="6"/>
        <v>0</v>
      </c>
      <c r="AY14" s="365"/>
    </row>
    <row r="15" spans="1:51" s="12" customFormat="1" ht="18.75" customHeight="1" thickBot="1">
      <c r="A15" s="159"/>
      <c r="B15" s="1135" t="s">
        <v>519</v>
      </c>
      <c r="C15" s="1135"/>
      <c r="D15" s="1135"/>
      <c r="E15" s="1135"/>
      <c r="F15" s="1135"/>
      <c r="G15" s="1135"/>
      <c r="H15" s="1135"/>
      <c r="I15" s="1135"/>
      <c r="J15" s="1135"/>
      <c r="K15" s="1135"/>
      <c r="L15" s="1135"/>
      <c r="M15" s="1135"/>
      <c r="N15" s="1135"/>
      <c r="O15" s="1135"/>
      <c r="P15" s="1135"/>
      <c r="Q15" s="1135"/>
      <c r="R15" s="1135"/>
      <c r="S15" s="1135"/>
      <c r="T15" s="1135"/>
      <c r="U15" s="1135"/>
      <c r="V15" s="1135"/>
      <c r="W15" s="1135"/>
      <c r="X15" s="1135"/>
      <c r="Y15" s="1135"/>
      <c r="Z15" s="1135"/>
      <c r="AA15" s="1135"/>
      <c r="AB15" s="1135"/>
      <c r="AC15" s="1135"/>
      <c r="AD15" s="1135"/>
      <c r="AE15" s="1135"/>
      <c r="AF15" s="1135"/>
      <c r="AG15" s="1135"/>
      <c r="AH15" s="1135"/>
      <c r="AI15" s="1135"/>
      <c r="AJ15" s="1135"/>
      <c r="AK15" s="1135"/>
      <c r="AL15" s="1135"/>
      <c r="AM15" s="1135"/>
      <c r="AN15" s="1135"/>
      <c r="AO15" s="1135"/>
      <c r="AP15" s="1135"/>
      <c r="AQ15" s="1135"/>
      <c r="AR15" s="1135"/>
      <c r="AS15" s="1136"/>
      <c r="AT15" s="159"/>
      <c r="AU15" s="460"/>
      <c r="AV15" s="461"/>
      <c r="AW15" s="462"/>
      <c r="AX15" s="462"/>
      <c r="AY15" s="365"/>
    </row>
    <row r="16" spans="1:51" s="5" customFormat="1" ht="51.75" customHeight="1" thickBot="1">
      <c r="A16" s="203">
        <v>1</v>
      </c>
      <c r="B16" s="207">
        <v>8.1</v>
      </c>
      <c r="C16" s="1137" t="s">
        <v>522</v>
      </c>
      <c r="D16" s="17" t="s">
        <v>134</v>
      </c>
      <c r="E16" s="17" t="s">
        <v>520</v>
      </c>
      <c r="F16" s="17">
        <v>8.1</v>
      </c>
      <c r="G16" s="17"/>
      <c r="H16" s="37"/>
      <c r="I16" s="2"/>
      <c r="J16" s="2"/>
      <c r="K16" s="170">
        <f t="shared" si="3"/>
        <v>0</v>
      </c>
      <c r="L16" s="8"/>
      <c r="M16" s="8"/>
      <c r="N16" s="8"/>
      <c r="O16" s="8"/>
      <c r="P16" s="8"/>
      <c r="Q16" s="8"/>
      <c r="R16" s="8"/>
      <c r="S16" s="8"/>
      <c r="T16" s="70">
        <f t="shared" si="0"/>
        <v>0</v>
      </c>
      <c r="U16" s="39">
        <v>4500</v>
      </c>
      <c r="V16" s="39">
        <v>350</v>
      </c>
      <c r="W16" s="58">
        <f t="shared" si="1"/>
        <v>1575000</v>
      </c>
      <c r="X16" s="39">
        <v>3000</v>
      </c>
      <c r="Y16" s="39">
        <v>1250</v>
      </c>
      <c r="Z16" s="58">
        <f aca="true" t="shared" si="7" ref="Z16:Z34">X16*Y16</f>
        <v>3750000</v>
      </c>
      <c r="AA16" s="42"/>
      <c r="AB16" s="42"/>
      <c r="AC16" s="58">
        <f t="shared" si="4"/>
        <v>0</v>
      </c>
      <c r="AD16" s="58"/>
      <c r="AE16" s="58"/>
      <c r="AF16" s="651"/>
      <c r="AG16" s="651"/>
      <c r="AH16" s="58">
        <f>AF16*AG16</f>
        <v>0</v>
      </c>
      <c r="AI16" s="651"/>
      <c r="AJ16" s="651"/>
      <c r="AK16" s="58">
        <f>AI16*AJ16</f>
        <v>0</v>
      </c>
      <c r="AL16" s="58">
        <v>500000</v>
      </c>
      <c r="AM16" s="58">
        <f t="shared" si="5"/>
        <v>5825000</v>
      </c>
      <c r="AN16" s="76">
        <f>AM16*25.93%</f>
        <v>1510422.4999999998</v>
      </c>
      <c r="AO16" s="76"/>
      <c r="AP16" s="76"/>
      <c r="AQ16" s="171"/>
      <c r="AR16" s="171"/>
      <c r="AS16" s="172">
        <f t="shared" si="2"/>
        <v>4314577.5</v>
      </c>
      <c r="AU16" s="173">
        <f>AM16*0.5</f>
        <v>2912500</v>
      </c>
      <c r="AV16" s="174">
        <f>AM16*0.5</f>
        <v>2912500</v>
      </c>
      <c r="AW16" s="175"/>
      <c r="AX16" s="175"/>
      <c r="AY16" s="365"/>
    </row>
    <row r="17" spans="1:51" s="6" customFormat="1" ht="26.25" thickBot="1">
      <c r="A17" s="163"/>
      <c r="B17" s="207"/>
      <c r="C17" s="1137"/>
      <c r="D17" s="28" t="s">
        <v>135</v>
      </c>
      <c r="E17" s="28" t="s">
        <v>521</v>
      </c>
      <c r="F17" s="28">
        <v>8.1</v>
      </c>
      <c r="G17" s="28"/>
      <c r="H17" s="144"/>
      <c r="I17" s="178"/>
      <c r="J17" s="178"/>
      <c r="K17" s="170">
        <f t="shared" si="3"/>
        <v>0</v>
      </c>
      <c r="L17" s="8"/>
      <c r="M17" s="8"/>
      <c r="N17" s="8"/>
      <c r="O17" s="8"/>
      <c r="P17" s="8"/>
      <c r="Q17" s="8"/>
      <c r="R17" s="8"/>
      <c r="S17" s="8"/>
      <c r="T17" s="70">
        <f t="shared" si="0"/>
        <v>0</v>
      </c>
      <c r="U17" s="179">
        <v>300</v>
      </c>
      <c r="V17" s="39">
        <v>350</v>
      </c>
      <c r="W17" s="58">
        <f t="shared" si="1"/>
        <v>105000</v>
      </c>
      <c r="X17" s="179">
        <v>250</v>
      </c>
      <c r="Y17" s="39">
        <v>1250</v>
      </c>
      <c r="Z17" s="58">
        <f t="shared" si="7"/>
        <v>312500</v>
      </c>
      <c r="AA17" s="180"/>
      <c r="AB17" s="180"/>
      <c r="AC17" s="58">
        <f t="shared" si="4"/>
        <v>0</v>
      </c>
      <c r="AD17" s="181"/>
      <c r="AE17" s="181"/>
      <c r="AF17" s="649"/>
      <c r="AG17" s="649"/>
      <c r="AH17" s="58">
        <f>AF17*AG17</f>
        <v>0</v>
      </c>
      <c r="AI17" s="649"/>
      <c r="AJ17" s="649"/>
      <c r="AK17" s="58">
        <f>AI17*AJ17</f>
        <v>0</v>
      </c>
      <c r="AL17" s="181">
        <v>20000</v>
      </c>
      <c r="AM17" s="58">
        <f t="shared" si="5"/>
        <v>437500</v>
      </c>
      <c r="AN17" s="76">
        <f>AM17*25.93%</f>
        <v>113443.74999999999</v>
      </c>
      <c r="AO17" s="99"/>
      <c r="AP17" s="99"/>
      <c r="AQ17" s="182"/>
      <c r="AR17" s="182"/>
      <c r="AS17" s="172">
        <f t="shared" si="2"/>
        <v>324056.25</v>
      </c>
      <c r="AU17" s="173"/>
      <c r="AV17" s="174">
        <f>AM17*0.6</f>
        <v>262500</v>
      </c>
      <c r="AW17" s="175">
        <f>AM17*0.4</f>
        <v>175000</v>
      </c>
      <c r="AX17" s="175"/>
      <c r="AY17" s="365"/>
    </row>
    <row r="18" spans="1:51" s="5" customFormat="1" ht="51.75" thickBot="1">
      <c r="A18" s="163"/>
      <c r="B18" s="207">
        <v>8.2</v>
      </c>
      <c r="C18" s="206" t="s">
        <v>523</v>
      </c>
      <c r="D18" s="17" t="s">
        <v>136</v>
      </c>
      <c r="E18" s="17" t="s">
        <v>524</v>
      </c>
      <c r="F18" s="176" t="s">
        <v>110</v>
      </c>
      <c r="G18" s="17"/>
      <c r="H18" s="37"/>
      <c r="I18" s="2"/>
      <c r="J18" s="2"/>
      <c r="K18" s="170"/>
      <c r="L18" s="8"/>
      <c r="M18" s="8"/>
      <c r="N18" s="8"/>
      <c r="O18" s="8"/>
      <c r="P18" s="8"/>
      <c r="Q18" s="8"/>
      <c r="R18" s="8"/>
      <c r="S18" s="8"/>
      <c r="T18" s="70">
        <f t="shared" si="0"/>
        <v>0</v>
      </c>
      <c r="U18" s="39"/>
      <c r="V18" s="39"/>
      <c r="W18" s="58">
        <v>350000</v>
      </c>
      <c r="X18" s="39"/>
      <c r="Y18" s="39"/>
      <c r="Z18" s="58">
        <v>1000000</v>
      </c>
      <c r="AA18" s="42"/>
      <c r="AB18" s="42"/>
      <c r="AC18" s="58">
        <f t="shared" si="4"/>
        <v>0</v>
      </c>
      <c r="AD18" s="58"/>
      <c r="AE18" s="58"/>
      <c r="AF18" s="651"/>
      <c r="AG18" s="651"/>
      <c r="AH18" s="58"/>
      <c r="AI18" s="651"/>
      <c r="AJ18" s="651"/>
      <c r="AK18" s="58"/>
      <c r="AL18" s="58"/>
      <c r="AM18" s="58">
        <f t="shared" si="5"/>
        <v>1350000</v>
      </c>
      <c r="AN18" s="76">
        <f>1000000*(0.2+0.15)</f>
        <v>350000</v>
      </c>
      <c r="AO18" s="177"/>
      <c r="AQ18" s="76">
        <v>1000000</v>
      </c>
      <c r="AR18" s="171"/>
      <c r="AS18" s="172">
        <f t="shared" si="2"/>
        <v>0</v>
      </c>
      <c r="AU18" s="173">
        <f>AM18*0.7</f>
        <v>944999.9999999999</v>
      </c>
      <c r="AV18" s="174">
        <f>AM18*0.3</f>
        <v>405000</v>
      </c>
      <c r="AW18" s="175"/>
      <c r="AX18" s="175"/>
      <c r="AY18" s="365"/>
    </row>
    <row r="19" spans="1:51" s="6" customFormat="1" ht="39.75" customHeight="1" thickBot="1">
      <c r="A19" s="163"/>
      <c r="B19" s="207">
        <v>8.3</v>
      </c>
      <c r="C19" s="206" t="s">
        <v>526</v>
      </c>
      <c r="D19" s="17" t="s">
        <v>137</v>
      </c>
      <c r="E19" s="17" t="s">
        <v>525</v>
      </c>
      <c r="F19" s="17" t="s">
        <v>111</v>
      </c>
      <c r="G19" s="17"/>
      <c r="H19" s="37"/>
      <c r="I19" s="2"/>
      <c r="J19" s="2"/>
      <c r="K19" s="170">
        <f t="shared" si="3"/>
        <v>0</v>
      </c>
      <c r="L19" s="8"/>
      <c r="M19" s="8"/>
      <c r="N19" s="8"/>
      <c r="O19" s="8"/>
      <c r="P19" s="8"/>
      <c r="Q19" s="8"/>
      <c r="R19" s="8"/>
      <c r="S19" s="8"/>
      <c r="T19" s="70">
        <f t="shared" si="0"/>
        <v>0</v>
      </c>
      <c r="U19" s="39">
        <f>15*50</f>
        <v>750</v>
      </c>
      <c r="V19" s="39">
        <v>350</v>
      </c>
      <c r="W19" s="58">
        <f t="shared" si="1"/>
        <v>262500</v>
      </c>
      <c r="X19" s="39">
        <f>15*45</f>
        <v>675</v>
      </c>
      <c r="Y19" s="39">
        <v>1250</v>
      </c>
      <c r="Z19" s="58">
        <f t="shared" si="7"/>
        <v>843750</v>
      </c>
      <c r="AA19" s="42"/>
      <c r="AB19" s="42"/>
      <c r="AC19" s="58">
        <f t="shared" si="4"/>
        <v>0</v>
      </c>
      <c r="AD19" s="58"/>
      <c r="AE19" s="58"/>
      <c r="AF19" s="651"/>
      <c r="AG19" s="651"/>
      <c r="AH19" s="58">
        <f>AF19*AG19</f>
        <v>0</v>
      </c>
      <c r="AI19" s="651"/>
      <c r="AJ19" s="651"/>
      <c r="AK19" s="58">
        <f aca="true" t="shared" si="8" ref="AK19:AK27">AI19*AJ19</f>
        <v>0</v>
      </c>
      <c r="AL19" s="58">
        <v>100000</v>
      </c>
      <c r="AM19" s="58">
        <f t="shared" si="5"/>
        <v>1206250</v>
      </c>
      <c r="AN19" s="76">
        <f>AM19*25.93%</f>
        <v>312780.62499999994</v>
      </c>
      <c r="AO19" s="76">
        <v>25992</v>
      </c>
      <c r="AP19" s="76"/>
      <c r="AQ19" s="171"/>
      <c r="AR19" s="171"/>
      <c r="AS19" s="172">
        <f t="shared" si="2"/>
        <v>867477.375</v>
      </c>
      <c r="AU19" s="173"/>
      <c r="AV19" s="174">
        <f>AM19*0.7</f>
        <v>844375</v>
      </c>
      <c r="AW19" s="175">
        <f>AM19*0.3</f>
        <v>361875</v>
      </c>
      <c r="AX19" s="175"/>
      <c r="AY19" s="365"/>
    </row>
    <row r="20" spans="1:51" s="7" customFormat="1" ht="26.25" customHeight="1" thickBot="1">
      <c r="A20" s="163"/>
      <c r="B20" s="1142">
        <v>8.4</v>
      </c>
      <c r="C20" s="1137" t="s">
        <v>527</v>
      </c>
      <c r="D20" s="18" t="s">
        <v>39</v>
      </c>
      <c r="E20" s="19" t="s">
        <v>528</v>
      </c>
      <c r="F20" s="19">
        <v>8.4</v>
      </c>
      <c r="G20" s="19"/>
      <c r="H20" s="130"/>
      <c r="I20" s="131"/>
      <c r="J20" s="131"/>
      <c r="K20" s="170">
        <f t="shared" si="3"/>
        <v>0</v>
      </c>
      <c r="L20" s="133"/>
      <c r="M20" s="133"/>
      <c r="N20" s="133"/>
      <c r="O20" s="133"/>
      <c r="P20" s="133"/>
      <c r="Q20" s="133"/>
      <c r="R20" s="133"/>
      <c r="S20" s="133"/>
      <c r="T20" s="70">
        <f t="shared" si="0"/>
        <v>0</v>
      </c>
      <c r="U20" s="71"/>
      <c r="V20" s="71"/>
      <c r="W20" s="58">
        <f t="shared" si="1"/>
        <v>0</v>
      </c>
      <c r="X20" s="71"/>
      <c r="Y20" s="71"/>
      <c r="Z20" s="58">
        <f t="shared" si="7"/>
        <v>0</v>
      </c>
      <c r="AA20" s="72"/>
      <c r="AB20" s="72"/>
      <c r="AC20" s="58">
        <f t="shared" si="4"/>
        <v>0</v>
      </c>
      <c r="AD20" s="70"/>
      <c r="AE20" s="70"/>
      <c r="AF20" s="91"/>
      <c r="AG20" s="91"/>
      <c r="AH20" s="58">
        <v>241152</v>
      </c>
      <c r="AI20" s="91"/>
      <c r="AJ20" s="91"/>
      <c r="AK20" s="58">
        <f t="shared" si="8"/>
        <v>0</v>
      </c>
      <c r="AL20" s="70"/>
      <c r="AM20" s="58">
        <f t="shared" si="5"/>
        <v>241152</v>
      </c>
      <c r="AN20" s="73">
        <f>AM20*14.81%</f>
        <v>35714.6112</v>
      </c>
      <c r="AO20" s="73"/>
      <c r="AP20" s="73"/>
      <c r="AQ20" s="191"/>
      <c r="AR20" s="191"/>
      <c r="AS20" s="172">
        <f t="shared" si="2"/>
        <v>205437.38880000002</v>
      </c>
      <c r="AU20" s="173">
        <f>AM20*1</f>
        <v>241152</v>
      </c>
      <c r="AV20" s="174"/>
      <c r="AW20" s="175"/>
      <c r="AX20" s="175"/>
      <c r="AY20" s="365"/>
    </row>
    <row r="21" spans="1:51" s="7" customFormat="1" ht="26.25" thickBot="1">
      <c r="A21" s="163"/>
      <c r="B21" s="1142"/>
      <c r="C21" s="1137"/>
      <c r="D21" s="17" t="s">
        <v>40</v>
      </c>
      <c r="E21" s="17" t="s">
        <v>529</v>
      </c>
      <c r="F21" s="17">
        <v>8.4</v>
      </c>
      <c r="G21" s="17"/>
      <c r="H21" s="37"/>
      <c r="I21" s="2"/>
      <c r="J21" s="2"/>
      <c r="K21" s="170">
        <f t="shared" si="3"/>
        <v>0</v>
      </c>
      <c r="L21" s="8"/>
      <c r="M21" s="8"/>
      <c r="N21" s="8"/>
      <c r="O21" s="8"/>
      <c r="P21" s="8"/>
      <c r="Q21" s="8"/>
      <c r="R21" s="8"/>
      <c r="S21" s="8"/>
      <c r="T21" s="70">
        <f t="shared" si="0"/>
        <v>0</v>
      </c>
      <c r="U21" s="39">
        <f>350*2.5</f>
        <v>875</v>
      </c>
      <c r="V21" s="39">
        <v>350</v>
      </c>
      <c r="W21" s="58">
        <f t="shared" si="1"/>
        <v>306250</v>
      </c>
      <c r="X21" s="39">
        <v>150</v>
      </c>
      <c r="Y21" s="39">
        <v>1250</v>
      </c>
      <c r="Z21" s="58">
        <f t="shared" si="7"/>
        <v>187500</v>
      </c>
      <c r="AA21" s="42"/>
      <c r="AB21" s="42"/>
      <c r="AC21" s="58">
        <f t="shared" si="4"/>
        <v>0</v>
      </c>
      <c r="AD21" s="58"/>
      <c r="AE21" s="58"/>
      <c r="AF21" s="651"/>
      <c r="AG21" s="651"/>
      <c r="AH21" s="58">
        <f aca="true" t="shared" si="9" ref="AH21:AH27">AF21*AG21</f>
        <v>0</v>
      </c>
      <c r="AI21" s="651"/>
      <c r="AJ21" s="651"/>
      <c r="AK21" s="58">
        <f t="shared" si="8"/>
        <v>0</v>
      </c>
      <c r="AL21" s="58">
        <v>90000</v>
      </c>
      <c r="AM21" s="58">
        <f t="shared" si="5"/>
        <v>583750</v>
      </c>
      <c r="AN21" s="73"/>
      <c r="AO21" s="76"/>
      <c r="AQ21" s="196">
        <f>AM21</f>
        <v>583750</v>
      </c>
      <c r="AR21" s="197"/>
      <c r="AS21" s="172">
        <f t="shared" si="2"/>
        <v>0</v>
      </c>
      <c r="AU21" s="173">
        <f>AM21*1</f>
        <v>583750</v>
      </c>
      <c r="AV21" s="174"/>
      <c r="AW21" s="175"/>
      <c r="AX21" s="175"/>
      <c r="AY21" s="365"/>
    </row>
    <row r="22" spans="1:51" s="6" customFormat="1" ht="39" thickBot="1">
      <c r="A22" s="163"/>
      <c r="B22" s="207">
        <v>8.5</v>
      </c>
      <c r="C22" s="206" t="s">
        <v>530</v>
      </c>
      <c r="D22" s="17">
        <v>1.4</v>
      </c>
      <c r="E22" s="28" t="s">
        <v>531</v>
      </c>
      <c r="F22" s="28">
        <v>8.5</v>
      </c>
      <c r="G22" s="28"/>
      <c r="H22" s="144"/>
      <c r="I22" s="178"/>
      <c r="J22" s="178"/>
      <c r="K22" s="170">
        <f t="shared" si="3"/>
        <v>0</v>
      </c>
      <c r="L22" s="162"/>
      <c r="M22" s="183"/>
      <c r="N22" s="183"/>
      <c r="O22" s="183"/>
      <c r="P22" s="183"/>
      <c r="Q22" s="183"/>
      <c r="R22" s="183"/>
      <c r="S22" s="183"/>
      <c r="T22" s="70">
        <f t="shared" si="0"/>
        <v>0</v>
      </c>
      <c r="U22" s="179"/>
      <c r="V22" s="179"/>
      <c r="W22" s="58">
        <v>150000</v>
      </c>
      <c r="X22" s="179"/>
      <c r="Y22" s="179"/>
      <c r="Z22" s="58">
        <f t="shared" si="7"/>
        <v>0</v>
      </c>
      <c r="AA22" s="180"/>
      <c r="AB22" s="184"/>
      <c r="AC22" s="58">
        <f t="shared" si="4"/>
        <v>0</v>
      </c>
      <c r="AD22" s="181"/>
      <c r="AE22" s="181"/>
      <c r="AF22" s="649"/>
      <c r="AG22" s="649"/>
      <c r="AH22" s="58">
        <f t="shared" si="9"/>
        <v>0</v>
      </c>
      <c r="AI22" s="649"/>
      <c r="AJ22" s="649"/>
      <c r="AK22" s="58">
        <f t="shared" si="8"/>
        <v>0</v>
      </c>
      <c r="AL22" s="181"/>
      <c r="AM22" s="58">
        <f t="shared" si="5"/>
        <v>150000</v>
      </c>
      <c r="AN22" s="76"/>
      <c r="AO22" s="99">
        <f>AM22</f>
        <v>150000</v>
      </c>
      <c r="AP22" s="99"/>
      <c r="AQ22" s="182"/>
      <c r="AR22" s="182"/>
      <c r="AS22" s="172">
        <f t="shared" si="2"/>
        <v>0</v>
      </c>
      <c r="AU22" s="173">
        <f>AM22*1</f>
        <v>150000</v>
      </c>
      <c r="AV22" s="174"/>
      <c r="AW22" s="175"/>
      <c r="AX22" s="175"/>
      <c r="AY22" s="365"/>
    </row>
    <row r="23" spans="1:50" s="7" customFormat="1" ht="26.25" thickBot="1">
      <c r="A23" s="163"/>
      <c r="B23" s="1143">
        <v>8.6</v>
      </c>
      <c r="C23" s="1145" t="s">
        <v>534</v>
      </c>
      <c r="D23" s="17" t="s">
        <v>41</v>
      </c>
      <c r="E23" s="28" t="s">
        <v>532</v>
      </c>
      <c r="F23" s="28">
        <v>8.6</v>
      </c>
      <c r="G23" s="17"/>
      <c r="H23" s="144"/>
      <c r="I23" s="178"/>
      <c r="J23" s="178"/>
      <c r="K23" s="170">
        <f t="shared" si="3"/>
        <v>0</v>
      </c>
      <c r="L23" s="162"/>
      <c r="M23" s="183"/>
      <c r="N23" s="183"/>
      <c r="O23" s="183"/>
      <c r="P23" s="183"/>
      <c r="Q23" s="183"/>
      <c r="R23" s="183"/>
      <c r="S23" s="183"/>
      <c r="T23" s="70">
        <f t="shared" si="0"/>
        <v>0</v>
      </c>
      <c r="U23" s="179">
        <f>350*2.5</f>
        <v>875</v>
      </c>
      <c r="V23" s="39">
        <v>350</v>
      </c>
      <c r="W23" s="58">
        <f t="shared" si="1"/>
        <v>306250</v>
      </c>
      <c r="X23" s="179">
        <f>300*2</f>
        <v>600</v>
      </c>
      <c r="Y23" s="39">
        <v>1250</v>
      </c>
      <c r="Z23" s="58">
        <f t="shared" si="7"/>
        <v>750000</v>
      </c>
      <c r="AA23" s="180"/>
      <c r="AB23" s="180"/>
      <c r="AC23" s="58">
        <f t="shared" si="4"/>
        <v>0</v>
      </c>
      <c r="AD23" s="181"/>
      <c r="AE23" s="181"/>
      <c r="AF23" s="649"/>
      <c r="AG23" s="649"/>
      <c r="AH23" s="58">
        <f t="shared" si="9"/>
        <v>0</v>
      </c>
      <c r="AI23" s="649"/>
      <c r="AJ23" s="649"/>
      <c r="AK23" s="58">
        <f t="shared" si="8"/>
        <v>0</v>
      </c>
      <c r="AL23" s="181">
        <v>40000</v>
      </c>
      <c r="AM23" s="58">
        <f t="shared" si="5"/>
        <v>1096250</v>
      </c>
      <c r="AN23" s="73"/>
      <c r="AO23" s="99">
        <f>AM23</f>
        <v>1096250</v>
      </c>
      <c r="AP23" s="99"/>
      <c r="AQ23" s="182"/>
      <c r="AR23" s="182"/>
      <c r="AS23" s="172">
        <f t="shared" si="2"/>
        <v>0</v>
      </c>
      <c r="AU23" s="173">
        <f>AM23*1</f>
        <v>1096250</v>
      </c>
      <c r="AV23" s="174"/>
      <c r="AW23" s="175"/>
      <c r="AX23" s="175"/>
    </row>
    <row r="24" spans="1:50" s="7" customFormat="1" ht="26.25" thickBot="1">
      <c r="A24" s="163"/>
      <c r="B24" s="1143"/>
      <c r="C24" s="1145"/>
      <c r="D24" s="17" t="s">
        <v>42</v>
      </c>
      <c r="E24" s="28" t="s">
        <v>533</v>
      </c>
      <c r="F24" s="28">
        <v>8.6</v>
      </c>
      <c r="G24" s="17" t="s">
        <v>287</v>
      </c>
      <c r="H24" s="144"/>
      <c r="I24" s="178"/>
      <c r="J24" s="178"/>
      <c r="K24" s="170">
        <f t="shared" si="3"/>
        <v>0</v>
      </c>
      <c r="L24" s="162"/>
      <c r="M24" s="183"/>
      <c r="N24" s="183"/>
      <c r="O24" s="183"/>
      <c r="P24" s="183"/>
      <c r="Q24" s="183"/>
      <c r="R24" s="183"/>
      <c r="S24" s="183"/>
      <c r="T24" s="70">
        <f t="shared" si="0"/>
        <v>0</v>
      </c>
      <c r="U24" s="179"/>
      <c r="V24" s="179"/>
      <c r="W24" s="58">
        <f t="shared" si="1"/>
        <v>0</v>
      </c>
      <c r="X24" s="179"/>
      <c r="Y24" s="179"/>
      <c r="Z24" s="58">
        <f t="shared" si="7"/>
        <v>0</v>
      </c>
      <c r="AA24" s="180"/>
      <c r="AB24" s="180"/>
      <c r="AC24" s="58">
        <f t="shared" si="4"/>
        <v>0</v>
      </c>
      <c r="AD24" s="181"/>
      <c r="AE24" s="181"/>
      <c r="AF24" s="649"/>
      <c r="AG24" s="649"/>
      <c r="AH24" s="58">
        <f t="shared" si="9"/>
        <v>0</v>
      </c>
      <c r="AI24" s="649"/>
      <c r="AJ24" s="649"/>
      <c r="AK24" s="58">
        <f t="shared" si="8"/>
        <v>0</v>
      </c>
      <c r="AL24" s="181"/>
      <c r="AM24" s="58">
        <f t="shared" si="5"/>
        <v>0</v>
      </c>
      <c r="AN24" s="73">
        <f>AM24*14.81%</f>
        <v>0</v>
      </c>
      <c r="AO24" s="99"/>
      <c r="AP24" s="99"/>
      <c r="AQ24" s="182"/>
      <c r="AR24" s="182"/>
      <c r="AS24" s="172">
        <f t="shared" si="2"/>
        <v>0</v>
      </c>
      <c r="AU24" s="173"/>
      <c r="AV24" s="174">
        <f>AM24*1</f>
        <v>0</v>
      </c>
      <c r="AW24" s="175"/>
      <c r="AX24" s="175"/>
    </row>
    <row r="25" spans="1:50" s="7" customFormat="1" ht="21" customHeight="1" thickBot="1">
      <c r="A25" s="163"/>
      <c r="B25" s="1144"/>
      <c r="C25" s="1146"/>
      <c r="D25" s="30" t="s">
        <v>43</v>
      </c>
      <c r="E25" s="30" t="s">
        <v>535</v>
      </c>
      <c r="F25" s="28">
        <v>8.6</v>
      </c>
      <c r="G25" s="17" t="s">
        <v>287</v>
      </c>
      <c r="H25" s="137"/>
      <c r="I25" s="138"/>
      <c r="J25" s="138"/>
      <c r="K25" s="170">
        <f t="shared" si="3"/>
        <v>0</v>
      </c>
      <c r="L25" s="139"/>
      <c r="M25" s="140"/>
      <c r="N25" s="79"/>
      <c r="O25" s="79"/>
      <c r="P25" s="79"/>
      <c r="Q25" s="79"/>
      <c r="R25" s="79"/>
      <c r="S25" s="79"/>
      <c r="T25" s="70">
        <f t="shared" si="0"/>
        <v>0</v>
      </c>
      <c r="U25" s="79"/>
      <c r="V25" s="79"/>
      <c r="W25" s="58">
        <f t="shared" si="1"/>
        <v>0</v>
      </c>
      <c r="X25" s="79"/>
      <c r="Y25" s="79"/>
      <c r="Z25" s="58">
        <f t="shared" si="7"/>
        <v>0</v>
      </c>
      <c r="AA25" s="80"/>
      <c r="AB25" s="80"/>
      <c r="AC25" s="58">
        <f t="shared" si="4"/>
        <v>0</v>
      </c>
      <c r="AD25" s="81"/>
      <c r="AE25" s="81"/>
      <c r="AF25" s="650"/>
      <c r="AG25" s="650"/>
      <c r="AH25" s="58">
        <f t="shared" si="9"/>
        <v>0</v>
      </c>
      <c r="AI25" s="650"/>
      <c r="AJ25" s="650"/>
      <c r="AK25" s="58">
        <f t="shared" si="8"/>
        <v>0</v>
      </c>
      <c r="AL25" s="82"/>
      <c r="AM25" s="58">
        <f t="shared" si="5"/>
        <v>0</v>
      </c>
      <c r="AN25" s="73">
        <f>AM25*14.81%</f>
        <v>0</v>
      </c>
      <c r="AO25" s="83"/>
      <c r="AP25" s="83"/>
      <c r="AQ25" s="182"/>
      <c r="AR25" s="182"/>
      <c r="AS25" s="172">
        <f t="shared" si="2"/>
        <v>0</v>
      </c>
      <c r="AU25" s="173"/>
      <c r="AV25" s="174">
        <f>AM25*1</f>
        <v>0</v>
      </c>
      <c r="AW25" s="175"/>
      <c r="AX25" s="175"/>
    </row>
    <row r="26" spans="1:50" s="5" customFormat="1" ht="36" customHeight="1" thickBot="1">
      <c r="A26" s="163"/>
      <c r="B26" s="1147">
        <v>8.7</v>
      </c>
      <c r="C26" s="1150" t="s">
        <v>537</v>
      </c>
      <c r="D26" s="18" t="s">
        <v>44</v>
      </c>
      <c r="E26" s="19" t="s">
        <v>538</v>
      </c>
      <c r="F26" s="19">
        <v>8.7</v>
      </c>
      <c r="G26" s="19"/>
      <c r="H26" s="130"/>
      <c r="I26" s="131"/>
      <c r="J26" s="131"/>
      <c r="K26" s="170">
        <f t="shared" si="3"/>
        <v>0</v>
      </c>
      <c r="L26" s="133"/>
      <c r="M26" s="133"/>
      <c r="N26" s="133"/>
      <c r="O26" s="133"/>
      <c r="P26" s="133"/>
      <c r="Q26" s="133"/>
      <c r="R26" s="133"/>
      <c r="S26" s="143"/>
      <c r="T26" s="70">
        <f t="shared" si="0"/>
        <v>0</v>
      </c>
      <c r="U26" s="71">
        <v>20</v>
      </c>
      <c r="V26" s="71">
        <v>300</v>
      </c>
      <c r="W26" s="58">
        <f t="shared" si="1"/>
        <v>6000</v>
      </c>
      <c r="X26" s="71"/>
      <c r="Y26" s="71"/>
      <c r="Z26" s="58">
        <f t="shared" si="7"/>
        <v>0</v>
      </c>
      <c r="AA26" s="72"/>
      <c r="AB26" s="72"/>
      <c r="AC26" s="58">
        <f t="shared" si="4"/>
        <v>0</v>
      </c>
      <c r="AD26" s="70"/>
      <c r="AE26" s="70"/>
      <c r="AF26" s="91"/>
      <c r="AG26" s="91"/>
      <c r="AH26" s="58">
        <f t="shared" si="9"/>
        <v>0</v>
      </c>
      <c r="AI26" s="91"/>
      <c r="AJ26" s="91"/>
      <c r="AK26" s="58">
        <f t="shared" si="8"/>
        <v>0</v>
      </c>
      <c r="AL26" s="70"/>
      <c r="AM26" s="58">
        <f t="shared" si="5"/>
        <v>6000</v>
      </c>
      <c r="AN26" s="73"/>
      <c r="AO26" s="73"/>
      <c r="AP26" s="73"/>
      <c r="AQ26" s="191"/>
      <c r="AR26" s="191"/>
      <c r="AS26" s="172">
        <f t="shared" si="2"/>
        <v>6000</v>
      </c>
      <c r="AU26" s="173"/>
      <c r="AV26" s="174"/>
      <c r="AW26" s="175">
        <f>AM26</f>
        <v>6000</v>
      </c>
      <c r="AX26" s="175"/>
    </row>
    <row r="27" spans="1:50" s="6" customFormat="1" ht="30" customHeight="1">
      <c r="A27" s="163"/>
      <c r="B27" s="1143"/>
      <c r="C27" s="1145"/>
      <c r="D27" s="17" t="s">
        <v>45</v>
      </c>
      <c r="E27" s="17" t="s">
        <v>539</v>
      </c>
      <c r="F27" s="17">
        <v>8.7</v>
      </c>
      <c r="G27" s="17" t="s">
        <v>536</v>
      </c>
      <c r="H27" s="37"/>
      <c r="I27" s="2"/>
      <c r="J27" s="2"/>
      <c r="K27" s="170">
        <f t="shared" si="3"/>
        <v>0</v>
      </c>
      <c r="L27" s="8">
        <v>15</v>
      </c>
      <c r="M27" s="8">
        <v>3</v>
      </c>
      <c r="N27" s="8">
        <v>20</v>
      </c>
      <c r="O27" s="8">
        <v>350</v>
      </c>
      <c r="P27" s="8">
        <v>25</v>
      </c>
      <c r="Q27" s="8">
        <v>30</v>
      </c>
      <c r="R27" s="8">
        <v>20</v>
      </c>
      <c r="S27" s="8">
        <v>65</v>
      </c>
      <c r="T27" s="70">
        <f t="shared" si="0"/>
        <v>74175</v>
      </c>
      <c r="U27" s="39"/>
      <c r="V27" s="39"/>
      <c r="W27" s="58">
        <f t="shared" si="1"/>
        <v>0</v>
      </c>
      <c r="X27" s="39"/>
      <c r="Y27" s="39"/>
      <c r="Z27" s="58">
        <f t="shared" si="7"/>
        <v>0</v>
      </c>
      <c r="AA27" s="42"/>
      <c r="AB27" s="42"/>
      <c r="AC27" s="58">
        <f t="shared" si="4"/>
        <v>0</v>
      </c>
      <c r="AD27" s="58"/>
      <c r="AE27" s="58"/>
      <c r="AF27" s="651"/>
      <c r="AG27" s="651"/>
      <c r="AH27" s="58">
        <f t="shared" si="9"/>
        <v>0</v>
      </c>
      <c r="AI27" s="651"/>
      <c r="AJ27" s="651"/>
      <c r="AK27" s="58">
        <f t="shared" si="8"/>
        <v>0</v>
      </c>
      <c r="AL27" s="58"/>
      <c r="AM27" s="58">
        <f t="shared" si="5"/>
        <v>74175</v>
      </c>
      <c r="AN27" s="73"/>
      <c r="AO27" s="76"/>
      <c r="AP27" s="76"/>
      <c r="AQ27" s="171"/>
      <c r="AR27" s="171"/>
      <c r="AS27" s="172">
        <f t="shared" si="2"/>
        <v>74175</v>
      </c>
      <c r="AU27" s="173"/>
      <c r="AV27" s="174"/>
      <c r="AW27" s="175">
        <f>AM27*1</f>
        <v>74175</v>
      </c>
      <c r="AX27" s="175"/>
    </row>
    <row r="28" spans="1:50" s="6" customFormat="1" ht="12" customHeight="1" thickBot="1">
      <c r="A28" s="467"/>
      <c r="B28" s="468"/>
      <c r="C28" s="456"/>
      <c r="D28" s="456"/>
      <c r="E28" s="457"/>
      <c r="F28" s="469"/>
      <c r="G28" s="469"/>
      <c r="H28" s="459"/>
      <c r="I28" s="470"/>
      <c r="J28" s="470"/>
      <c r="K28" s="458">
        <f>SUM(K15:K27)</f>
        <v>0</v>
      </c>
      <c r="L28" s="458"/>
      <c r="M28" s="458"/>
      <c r="N28" s="458"/>
      <c r="O28" s="458"/>
      <c r="P28" s="458"/>
      <c r="Q28" s="458"/>
      <c r="R28" s="458"/>
      <c r="S28" s="458"/>
      <c r="T28" s="458">
        <f aca="true" t="shared" si="10" ref="T28:AX28">SUM(T15:T27)</f>
        <v>74175</v>
      </c>
      <c r="U28" s="458"/>
      <c r="V28" s="458"/>
      <c r="W28" s="458">
        <f t="shared" si="10"/>
        <v>3061000</v>
      </c>
      <c r="X28" s="458"/>
      <c r="Y28" s="458"/>
      <c r="Z28" s="458">
        <f t="shared" si="10"/>
        <v>6843750</v>
      </c>
      <c r="AA28" s="458">
        <f t="shared" si="10"/>
        <v>0</v>
      </c>
      <c r="AB28" s="458">
        <f t="shared" si="10"/>
        <v>0</v>
      </c>
      <c r="AC28" s="458">
        <f t="shared" si="10"/>
        <v>0</v>
      </c>
      <c r="AD28" s="458">
        <f t="shared" si="10"/>
        <v>0</v>
      </c>
      <c r="AE28" s="458">
        <f t="shared" si="10"/>
        <v>0</v>
      </c>
      <c r="AF28" s="458">
        <f t="shared" si="10"/>
        <v>0</v>
      </c>
      <c r="AG28" s="458">
        <f t="shared" si="10"/>
        <v>0</v>
      </c>
      <c r="AH28" s="458">
        <f t="shared" si="10"/>
        <v>241152</v>
      </c>
      <c r="AI28" s="458">
        <f t="shared" si="10"/>
        <v>0</v>
      </c>
      <c r="AJ28" s="458">
        <f t="shared" si="10"/>
        <v>0</v>
      </c>
      <c r="AK28" s="458">
        <f t="shared" si="10"/>
        <v>0</v>
      </c>
      <c r="AL28" s="458">
        <f t="shared" si="10"/>
        <v>750000</v>
      </c>
      <c r="AM28" s="458">
        <f t="shared" si="10"/>
        <v>10970077</v>
      </c>
      <c r="AN28" s="458">
        <f t="shared" si="10"/>
        <v>2322361.4861999997</v>
      </c>
      <c r="AO28" s="458">
        <f t="shared" si="10"/>
        <v>1272242</v>
      </c>
      <c r="AP28" s="458">
        <f t="shared" si="10"/>
        <v>0</v>
      </c>
      <c r="AQ28" s="458">
        <f t="shared" si="10"/>
        <v>1583750</v>
      </c>
      <c r="AR28" s="458">
        <f t="shared" si="10"/>
        <v>0</v>
      </c>
      <c r="AS28" s="458">
        <f t="shared" si="10"/>
        <v>5791723.5138</v>
      </c>
      <c r="AT28" s="458"/>
      <c r="AU28" s="458">
        <f t="shared" si="10"/>
        <v>5928652</v>
      </c>
      <c r="AV28" s="458">
        <f t="shared" si="10"/>
        <v>4424375</v>
      </c>
      <c r="AW28" s="458">
        <f t="shared" si="10"/>
        <v>617050</v>
      </c>
      <c r="AX28" s="458">
        <f t="shared" si="10"/>
        <v>0</v>
      </c>
    </row>
    <row r="29" spans="1:50" s="12" customFormat="1" ht="58.5" customHeight="1" thickBot="1">
      <c r="A29" s="349"/>
      <c r="B29" s="1148" t="s">
        <v>540</v>
      </c>
      <c r="C29" s="1148"/>
      <c r="D29" s="1148"/>
      <c r="E29" s="1149"/>
      <c r="F29" s="350"/>
      <c r="G29" s="344"/>
      <c r="H29" s="27"/>
      <c r="I29" s="27"/>
      <c r="J29" s="27"/>
      <c r="K29" s="170">
        <f t="shared" si="3"/>
        <v>0</v>
      </c>
      <c r="L29" s="27"/>
      <c r="M29" s="27"/>
      <c r="N29" s="27"/>
      <c r="O29" s="27"/>
      <c r="P29" s="27"/>
      <c r="Q29" s="27"/>
      <c r="R29" s="27"/>
      <c r="S29" s="27"/>
      <c r="T29" s="70">
        <f t="shared" si="0"/>
        <v>0</v>
      </c>
      <c r="U29" s="27"/>
      <c r="V29" s="27"/>
      <c r="W29" s="58">
        <f t="shared" si="1"/>
        <v>0</v>
      </c>
      <c r="X29" s="27"/>
      <c r="Y29" s="27"/>
      <c r="Z29" s="58">
        <f t="shared" si="7"/>
        <v>0</v>
      </c>
      <c r="AA29" s="27"/>
      <c r="AB29" s="27"/>
      <c r="AC29" s="58">
        <f t="shared" si="4"/>
        <v>0</v>
      </c>
      <c r="AD29" s="27"/>
      <c r="AE29" s="27"/>
      <c r="AF29" s="27"/>
      <c r="AG29" s="27"/>
      <c r="AH29" s="27"/>
      <c r="AI29" s="27"/>
      <c r="AJ29" s="27"/>
      <c r="AK29" s="27"/>
      <c r="AL29" s="27"/>
      <c r="AM29" s="58">
        <f t="shared" si="5"/>
        <v>0</v>
      </c>
      <c r="AN29" s="27"/>
      <c r="AO29" s="27"/>
      <c r="AP29" s="27"/>
      <c r="AQ29" s="169"/>
      <c r="AR29" s="169"/>
      <c r="AS29" s="172">
        <f t="shared" si="2"/>
        <v>0</v>
      </c>
      <c r="AT29" s="159"/>
      <c r="AU29" s="20"/>
      <c r="AV29" s="16"/>
      <c r="AW29" s="21"/>
      <c r="AX29" s="21"/>
    </row>
    <row r="30" spans="1:50" s="7" customFormat="1" ht="39" customHeight="1" thickBot="1">
      <c r="A30" s="163"/>
      <c r="B30" s="205">
        <v>9.1</v>
      </c>
      <c r="C30" s="206" t="s">
        <v>541</v>
      </c>
      <c r="D30" s="17" t="s">
        <v>35</v>
      </c>
      <c r="E30" s="19" t="s">
        <v>542</v>
      </c>
      <c r="F30" s="158">
        <v>9.1</v>
      </c>
      <c r="G30" s="30"/>
      <c r="H30" s="130"/>
      <c r="I30" s="131"/>
      <c r="J30" s="131"/>
      <c r="K30" s="170">
        <f t="shared" si="3"/>
        <v>0</v>
      </c>
      <c r="L30" s="133"/>
      <c r="M30" s="133"/>
      <c r="N30" s="133"/>
      <c r="O30" s="133"/>
      <c r="P30" s="133"/>
      <c r="Q30" s="133"/>
      <c r="R30" s="133"/>
      <c r="S30" s="143"/>
      <c r="T30" s="70">
        <f t="shared" si="0"/>
        <v>0</v>
      </c>
      <c r="U30" s="71">
        <v>400</v>
      </c>
      <c r="V30" s="71">
        <v>300</v>
      </c>
      <c r="W30" s="58">
        <f t="shared" si="1"/>
        <v>120000</v>
      </c>
      <c r="X30" s="71">
        <v>80</v>
      </c>
      <c r="Y30" s="71">
        <v>1000</v>
      </c>
      <c r="Z30" s="58">
        <f t="shared" si="7"/>
        <v>80000</v>
      </c>
      <c r="AA30" s="72"/>
      <c r="AB30" s="72"/>
      <c r="AC30" s="58">
        <f t="shared" si="4"/>
        <v>0</v>
      </c>
      <c r="AD30" s="70"/>
      <c r="AE30" s="70"/>
      <c r="AF30" s="91"/>
      <c r="AG30" s="91"/>
      <c r="AH30" s="58">
        <f>AF30*AG30</f>
        <v>0</v>
      </c>
      <c r="AI30" s="91"/>
      <c r="AJ30" s="91"/>
      <c r="AK30" s="58">
        <f>AI30*AJ30</f>
        <v>0</v>
      </c>
      <c r="AL30" s="70"/>
      <c r="AM30" s="58">
        <f t="shared" si="5"/>
        <v>200000</v>
      </c>
      <c r="AN30" s="73"/>
      <c r="AO30" s="73"/>
      <c r="AP30" s="73"/>
      <c r="AQ30" s="191"/>
      <c r="AR30" s="191"/>
      <c r="AS30" s="172">
        <f t="shared" si="2"/>
        <v>200000</v>
      </c>
      <c r="AU30" s="173">
        <f>AM30*1</f>
        <v>200000</v>
      </c>
      <c r="AV30" s="174"/>
      <c r="AW30" s="175"/>
      <c r="AX30" s="175"/>
    </row>
    <row r="31" spans="1:50" s="7" customFormat="1" ht="39" customHeight="1" thickBot="1">
      <c r="A31" s="163"/>
      <c r="B31" s="1141">
        <v>9.2</v>
      </c>
      <c r="C31" s="1140" t="s">
        <v>543</v>
      </c>
      <c r="D31" s="17" t="s">
        <v>36</v>
      </c>
      <c r="E31" s="18" t="s">
        <v>544</v>
      </c>
      <c r="F31" s="18">
        <v>9.2</v>
      </c>
      <c r="G31" s="18"/>
      <c r="H31" s="134"/>
      <c r="I31" s="135"/>
      <c r="J31" s="135"/>
      <c r="K31" s="170">
        <f t="shared" si="3"/>
        <v>0</v>
      </c>
      <c r="L31" s="143"/>
      <c r="M31" s="143"/>
      <c r="N31" s="143"/>
      <c r="O31" s="143"/>
      <c r="P31" s="143"/>
      <c r="Q31" s="143"/>
      <c r="R31" s="143"/>
      <c r="S31" s="143"/>
      <c r="T31" s="70">
        <f t="shared" si="0"/>
        <v>0</v>
      </c>
      <c r="U31" s="87"/>
      <c r="V31" s="87"/>
      <c r="W31" s="58">
        <f t="shared" si="1"/>
        <v>0</v>
      </c>
      <c r="X31" s="87"/>
      <c r="Y31" s="87"/>
      <c r="Z31" s="58">
        <f t="shared" si="7"/>
        <v>0</v>
      </c>
      <c r="AA31" s="89"/>
      <c r="AB31" s="89"/>
      <c r="AC31" s="58">
        <f t="shared" si="4"/>
        <v>0</v>
      </c>
      <c r="AD31" s="88"/>
      <c r="AE31" s="88">
        <v>1350000</v>
      </c>
      <c r="AF31" s="648"/>
      <c r="AG31" s="648"/>
      <c r="AH31" s="58">
        <f>AF31*AG31</f>
        <v>0</v>
      </c>
      <c r="AI31" s="648"/>
      <c r="AJ31" s="648"/>
      <c r="AK31" s="58">
        <f>AI31*AJ31</f>
        <v>0</v>
      </c>
      <c r="AL31" s="88"/>
      <c r="AM31" s="58">
        <f t="shared" si="5"/>
        <v>1350000</v>
      </c>
      <c r="AN31" s="90">
        <v>350000</v>
      </c>
      <c r="AO31" s="90"/>
      <c r="AP31" s="90"/>
      <c r="AQ31" s="191"/>
      <c r="AR31" s="191"/>
      <c r="AS31" s="172">
        <f t="shared" si="2"/>
        <v>1000000</v>
      </c>
      <c r="AU31" s="173">
        <f>AM31*0.2</f>
        <v>270000</v>
      </c>
      <c r="AV31" s="174">
        <f>AM31*0.8</f>
        <v>1080000</v>
      </c>
      <c r="AW31" s="175"/>
      <c r="AX31" s="175"/>
    </row>
    <row r="32" spans="1:50" s="7" customFormat="1" ht="26.25" thickBot="1">
      <c r="A32" s="163"/>
      <c r="B32" s="1141"/>
      <c r="C32" s="1140"/>
      <c r="D32" s="17" t="s">
        <v>37</v>
      </c>
      <c r="E32" s="31" t="s">
        <v>545</v>
      </c>
      <c r="F32" s="31">
        <v>9.2</v>
      </c>
      <c r="G32" s="18"/>
      <c r="H32" s="134"/>
      <c r="I32" s="135"/>
      <c r="J32" s="135"/>
      <c r="K32" s="170">
        <f t="shared" si="3"/>
        <v>0</v>
      </c>
      <c r="L32" s="143"/>
      <c r="M32" s="143"/>
      <c r="N32" s="143"/>
      <c r="O32" s="143"/>
      <c r="P32" s="143"/>
      <c r="Q32" s="143"/>
      <c r="R32" s="143"/>
      <c r="S32" s="143"/>
      <c r="T32" s="70">
        <f t="shared" si="0"/>
        <v>0</v>
      </c>
      <c r="U32" s="87"/>
      <c r="V32" s="87"/>
      <c r="W32" s="58">
        <f t="shared" si="1"/>
        <v>0</v>
      </c>
      <c r="X32" s="87">
        <v>60</v>
      </c>
      <c r="Y32" s="87">
        <v>350</v>
      </c>
      <c r="Z32" s="58">
        <f t="shared" si="7"/>
        <v>21000</v>
      </c>
      <c r="AA32" s="89">
        <v>200</v>
      </c>
      <c r="AB32" s="89">
        <v>1250</v>
      </c>
      <c r="AC32" s="58">
        <f t="shared" si="4"/>
        <v>250000</v>
      </c>
      <c r="AD32" s="88"/>
      <c r="AE32" s="88">
        <v>6750000</v>
      </c>
      <c r="AF32" s="648"/>
      <c r="AG32" s="648"/>
      <c r="AH32" s="58">
        <v>4800000</v>
      </c>
      <c r="AI32" s="648"/>
      <c r="AJ32" s="648"/>
      <c r="AK32" s="58">
        <f>AI32*AJ32</f>
        <v>0</v>
      </c>
      <c r="AL32" s="88"/>
      <c r="AM32" s="58">
        <f t="shared" si="5"/>
        <v>11821000</v>
      </c>
      <c r="AN32" s="193">
        <f>750000+800000</f>
        <v>1550000</v>
      </c>
      <c r="AO32" s="90"/>
      <c r="AP32" s="90"/>
      <c r="AQ32" s="191"/>
      <c r="AR32" s="191"/>
      <c r="AS32" s="172">
        <f t="shared" si="2"/>
        <v>10271000</v>
      </c>
      <c r="AU32" s="173"/>
      <c r="AV32" s="174">
        <f>AM32*0.8</f>
        <v>9456800</v>
      </c>
      <c r="AW32" s="175">
        <f>AM32*0.2</f>
        <v>2364200</v>
      </c>
      <c r="AX32" s="175"/>
    </row>
    <row r="33" spans="1:50" s="6" customFormat="1" ht="26.25" thickBot="1">
      <c r="A33" s="163"/>
      <c r="B33" s="1141"/>
      <c r="C33" s="1140"/>
      <c r="D33" s="18" t="s">
        <v>46</v>
      </c>
      <c r="E33" s="32" t="s">
        <v>546</v>
      </c>
      <c r="F33" s="32">
        <v>9.2</v>
      </c>
      <c r="G33" s="17" t="s">
        <v>536</v>
      </c>
      <c r="H33" s="144"/>
      <c r="I33" s="178"/>
      <c r="J33" s="178"/>
      <c r="K33" s="170">
        <f t="shared" si="3"/>
        <v>0</v>
      </c>
      <c r="L33" s="162">
        <v>15</v>
      </c>
      <c r="M33" s="183">
        <v>3</v>
      </c>
      <c r="N33" s="183">
        <v>20</v>
      </c>
      <c r="O33" s="183">
        <v>350</v>
      </c>
      <c r="P33" s="8">
        <v>25</v>
      </c>
      <c r="Q33" s="8">
        <v>30</v>
      </c>
      <c r="R33" s="8">
        <v>20</v>
      </c>
      <c r="S33" s="8">
        <v>65</v>
      </c>
      <c r="T33" s="70">
        <f>(L33*M33*O33)+(L33*M33*N33*P33)+(L33*M33*N33*Q33)+(L33*N33*R33)+(L33*M33*S33)+51906</f>
        <v>126081</v>
      </c>
      <c r="U33" s="179"/>
      <c r="V33" s="179"/>
      <c r="W33" s="58">
        <f t="shared" si="1"/>
        <v>0</v>
      </c>
      <c r="X33" s="179"/>
      <c r="Y33" s="179"/>
      <c r="Z33" s="58">
        <f t="shared" si="7"/>
        <v>0</v>
      </c>
      <c r="AA33" s="180"/>
      <c r="AB33" s="180"/>
      <c r="AC33" s="58">
        <f t="shared" si="4"/>
        <v>0</v>
      </c>
      <c r="AD33" s="181"/>
      <c r="AE33" s="181"/>
      <c r="AF33" s="649"/>
      <c r="AG33" s="649"/>
      <c r="AH33" s="58">
        <f>AF33*AG33</f>
        <v>0</v>
      </c>
      <c r="AI33" s="649"/>
      <c r="AJ33" s="649"/>
      <c r="AK33" s="58">
        <f>AI33*AJ33</f>
        <v>0</v>
      </c>
      <c r="AL33" s="58"/>
      <c r="AM33" s="58">
        <f t="shared" si="5"/>
        <v>126081</v>
      </c>
      <c r="AN33" s="73">
        <v>74175</v>
      </c>
      <c r="AO33" s="99"/>
      <c r="AQ33" s="99">
        <v>51906</v>
      </c>
      <c r="AR33" s="182"/>
      <c r="AS33" s="172">
        <f t="shared" si="2"/>
        <v>0</v>
      </c>
      <c r="AU33" s="173"/>
      <c r="AV33" s="174"/>
      <c r="AW33" s="175">
        <f>AM33*1</f>
        <v>126081</v>
      </c>
      <c r="AX33" s="175"/>
    </row>
    <row r="34" spans="1:50" s="7" customFormat="1" ht="45" customHeight="1" thickBot="1">
      <c r="A34" s="163"/>
      <c r="B34" s="205">
        <v>9.3</v>
      </c>
      <c r="C34" s="206" t="s">
        <v>547</v>
      </c>
      <c r="D34" s="30" t="s">
        <v>38</v>
      </c>
      <c r="E34" s="30" t="s">
        <v>548</v>
      </c>
      <c r="F34" s="30">
        <v>9.3</v>
      </c>
      <c r="G34" s="30"/>
      <c r="H34" s="137"/>
      <c r="I34" s="138"/>
      <c r="J34" s="138"/>
      <c r="K34" s="170">
        <f t="shared" si="3"/>
        <v>0</v>
      </c>
      <c r="L34" s="139"/>
      <c r="M34" s="140"/>
      <c r="N34" s="79"/>
      <c r="O34" s="79"/>
      <c r="P34" s="79"/>
      <c r="Q34" s="79"/>
      <c r="R34" s="79"/>
      <c r="S34" s="79"/>
      <c r="T34" s="70">
        <f t="shared" si="0"/>
        <v>0</v>
      </c>
      <c r="U34" s="79"/>
      <c r="V34" s="79"/>
      <c r="W34" s="58">
        <f t="shared" si="1"/>
        <v>0</v>
      </c>
      <c r="X34" s="79"/>
      <c r="Y34" s="79"/>
      <c r="Z34" s="58">
        <f t="shared" si="7"/>
        <v>0</v>
      </c>
      <c r="AA34" s="80"/>
      <c r="AB34" s="80"/>
      <c r="AC34" s="58">
        <f t="shared" si="4"/>
        <v>0</v>
      </c>
      <c r="AD34" s="81"/>
      <c r="AE34" s="81">
        <f>250000*0.844</f>
        <v>211000</v>
      </c>
      <c r="AF34" s="650"/>
      <c r="AG34" s="650"/>
      <c r="AH34" s="58">
        <f>AF34*AG34</f>
        <v>0</v>
      </c>
      <c r="AI34" s="650"/>
      <c r="AJ34" s="650"/>
      <c r="AK34" s="58">
        <f>AI34*AJ34</f>
        <v>0</v>
      </c>
      <c r="AL34" s="82"/>
      <c r="AM34" s="58">
        <f t="shared" si="5"/>
        <v>211000</v>
      </c>
      <c r="AN34" s="83"/>
      <c r="AO34" s="83"/>
      <c r="AQ34" s="194">
        <f>AM34</f>
        <v>211000</v>
      </c>
      <c r="AR34" s="195"/>
      <c r="AS34" s="172">
        <f t="shared" si="2"/>
        <v>0</v>
      </c>
      <c r="AU34" s="173">
        <f>AM34*1</f>
        <v>211000</v>
      </c>
      <c r="AV34" s="174"/>
      <c r="AW34" s="175"/>
      <c r="AX34" s="175"/>
    </row>
    <row r="35" spans="1:50" s="7" customFormat="1" ht="13.5" thickBot="1">
      <c r="A35" s="471"/>
      <c r="B35" s="472"/>
      <c r="C35" s="473"/>
      <c r="D35" s="474"/>
      <c r="E35" s="474"/>
      <c r="F35" s="474"/>
      <c r="G35" s="474"/>
      <c r="H35" s="475"/>
      <c r="I35" s="476"/>
      <c r="J35" s="476"/>
      <c r="K35" s="477">
        <f>SUM(K29:K34)</f>
        <v>0</v>
      </c>
      <c r="L35" s="477">
        <f aca="true" t="shared" si="11" ref="L35:AX35">SUM(L29:L34)</f>
        <v>15</v>
      </c>
      <c r="M35" s="477">
        <f t="shared" si="11"/>
        <v>3</v>
      </c>
      <c r="N35" s="477">
        <f t="shared" si="11"/>
        <v>20</v>
      </c>
      <c r="O35" s="477">
        <f t="shared" si="11"/>
        <v>350</v>
      </c>
      <c r="P35" s="477">
        <f t="shared" si="11"/>
        <v>25</v>
      </c>
      <c r="Q35" s="477">
        <f t="shared" si="11"/>
        <v>30</v>
      </c>
      <c r="R35" s="477">
        <f t="shared" si="11"/>
        <v>20</v>
      </c>
      <c r="S35" s="477">
        <f t="shared" si="11"/>
        <v>65</v>
      </c>
      <c r="T35" s="477">
        <f t="shared" si="11"/>
        <v>126081</v>
      </c>
      <c r="U35" s="477">
        <f t="shared" si="11"/>
        <v>400</v>
      </c>
      <c r="V35" s="477">
        <f t="shared" si="11"/>
        <v>300</v>
      </c>
      <c r="W35" s="477">
        <f t="shared" si="11"/>
        <v>120000</v>
      </c>
      <c r="X35" s="477">
        <f t="shared" si="11"/>
        <v>140</v>
      </c>
      <c r="Y35" s="477">
        <f t="shared" si="11"/>
        <v>1350</v>
      </c>
      <c r="Z35" s="477">
        <f t="shared" si="11"/>
        <v>101000</v>
      </c>
      <c r="AA35" s="477">
        <f t="shared" si="11"/>
        <v>200</v>
      </c>
      <c r="AB35" s="477">
        <f t="shared" si="11"/>
        <v>1250</v>
      </c>
      <c r="AC35" s="477">
        <f t="shared" si="11"/>
        <v>250000</v>
      </c>
      <c r="AD35" s="477">
        <f t="shared" si="11"/>
        <v>0</v>
      </c>
      <c r="AE35" s="477">
        <f t="shared" si="11"/>
        <v>8311000</v>
      </c>
      <c r="AF35" s="477">
        <f t="shared" si="11"/>
        <v>0</v>
      </c>
      <c r="AG35" s="477">
        <f t="shared" si="11"/>
        <v>0</v>
      </c>
      <c r="AH35" s="477">
        <f t="shared" si="11"/>
        <v>4800000</v>
      </c>
      <c r="AI35" s="477">
        <f t="shared" si="11"/>
        <v>0</v>
      </c>
      <c r="AJ35" s="477">
        <f t="shared" si="11"/>
        <v>0</v>
      </c>
      <c r="AK35" s="477">
        <f t="shared" si="11"/>
        <v>0</v>
      </c>
      <c r="AL35" s="477">
        <f t="shared" si="11"/>
        <v>0</v>
      </c>
      <c r="AM35" s="477">
        <f t="shared" si="11"/>
        <v>13708081</v>
      </c>
      <c r="AN35" s="477">
        <f t="shared" si="11"/>
        <v>1974175</v>
      </c>
      <c r="AO35" s="477">
        <f t="shared" si="11"/>
        <v>0</v>
      </c>
      <c r="AP35" s="477">
        <f t="shared" si="11"/>
        <v>0</v>
      </c>
      <c r="AQ35" s="477">
        <f t="shared" si="11"/>
        <v>262906</v>
      </c>
      <c r="AR35" s="477">
        <f t="shared" si="11"/>
        <v>0</v>
      </c>
      <c r="AS35" s="477">
        <f t="shared" si="11"/>
        <v>11471000</v>
      </c>
      <c r="AT35" s="478"/>
      <c r="AU35" s="477">
        <f t="shared" si="11"/>
        <v>681000</v>
      </c>
      <c r="AV35" s="477">
        <f t="shared" si="11"/>
        <v>10536800</v>
      </c>
      <c r="AW35" s="477">
        <f t="shared" si="11"/>
        <v>2490281</v>
      </c>
      <c r="AX35" s="477">
        <f t="shared" si="11"/>
        <v>0</v>
      </c>
    </row>
    <row r="36" spans="1:50" ht="12" thickBot="1">
      <c r="A36" s="22"/>
      <c r="B36" s="208"/>
      <c r="C36" s="204"/>
      <c r="D36" s="13"/>
      <c r="E36" s="14"/>
      <c r="F36" s="14"/>
      <c r="G36" s="14"/>
      <c r="H36" s="199"/>
      <c r="I36" s="33"/>
      <c r="J36" s="33"/>
      <c r="K36" s="200">
        <f>K14+K28+K35</f>
        <v>3435720</v>
      </c>
      <c r="L36" s="200"/>
      <c r="M36" s="200"/>
      <c r="N36" s="200"/>
      <c r="O36" s="200"/>
      <c r="P36" s="200"/>
      <c r="Q36" s="200"/>
      <c r="R36" s="200"/>
      <c r="S36" s="200"/>
      <c r="T36" s="200">
        <f aca="true" t="shared" si="12" ref="T36:AX36">T14+T28+T35</f>
        <v>200256</v>
      </c>
      <c r="U36" s="200"/>
      <c r="V36" s="200"/>
      <c r="W36" s="200">
        <f t="shared" si="12"/>
        <v>3181000</v>
      </c>
      <c r="X36" s="200"/>
      <c r="Y36" s="200"/>
      <c r="Z36" s="200">
        <f t="shared" si="12"/>
        <v>7353246</v>
      </c>
      <c r="AA36" s="200"/>
      <c r="AB36" s="200"/>
      <c r="AC36" s="200">
        <f t="shared" si="12"/>
        <v>386728</v>
      </c>
      <c r="AD36" s="200">
        <f t="shared" si="12"/>
        <v>18282740</v>
      </c>
      <c r="AE36" s="200">
        <f t="shared" si="12"/>
        <v>8628015</v>
      </c>
      <c r="AF36" s="200">
        <f t="shared" si="12"/>
        <v>0</v>
      </c>
      <c r="AG36" s="200">
        <f t="shared" si="12"/>
        <v>0</v>
      </c>
      <c r="AH36" s="200">
        <f t="shared" si="12"/>
        <v>5172639</v>
      </c>
      <c r="AI36" s="200">
        <f t="shared" si="12"/>
        <v>0</v>
      </c>
      <c r="AJ36" s="200">
        <f t="shared" si="12"/>
        <v>0</v>
      </c>
      <c r="AK36" s="200">
        <f t="shared" si="12"/>
        <v>50640</v>
      </c>
      <c r="AL36" s="200">
        <f t="shared" si="12"/>
        <v>3792344</v>
      </c>
      <c r="AM36" s="200">
        <f t="shared" si="12"/>
        <v>50483328</v>
      </c>
      <c r="AN36" s="200">
        <f t="shared" si="12"/>
        <v>13699906.4862</v>
      </c>
      <c r="AO36" s="200">
        <f t="shared" si="12"/>
        <v>1272242</v>
      </c>
      <c r="AP36" s="200">
        <f t="shared" si="12"/>
        <v>0</v>
      </c>
      <c r="AQ36" s="200">
        <f t="shared" si="12"/>
        <v>17332378</v>
      </c>
      <c r="AR36" s="200">
        <f t="shared" si="12"/>
        <v>916078</v>
      </c>
      <c r="AS36" s="200">
        <f t="shared" si="12"/>
        <v>17262723.5138</v>
      </c>
      <c r="AT36" s="200"/>
      <c r="AU36" s="200">
        <f t="shared" si="12"/>
        <v>9162347</v>
      </c>
      <c r="AV36" s="200">
        <f t="shared" si="12"/>
        <v>26649050</v>
      </c>
      <c r="AW36" s="200">
        <f t="shared" si="12"/>
        <v>14671931.3</v>
      </c>
      <c r="AX36" s="200">
        <f t="shared" si="12"/>
        <v>0</v>
      </c>
    </row>
    <row r="37" ht="11.25">
      <c r="AM37" s="35">
        <f>AM41-AM36</f>
        <v>360600.5714285746</v>
      </c>
    </row>
    <row r="38" spans="34:50" ht="45">
      <c r="AH38" s="35">
        <f>K36+T36+W36+Z36+AC36+AD36+AE36+AH36+AK36+AL36</f>
        <v>50483328</v>
      </c>
      <c r="AK38" s="35" t="s">
        <v>549</v>
      </c>
      <c r="AM38" s="35">
        <v>44400000</v>
      </c>
      <c r="AN38" s="35">
        <v>9400000</v>
      </c>
      <c r="AO38" s="356">
        <v>2000000</v>
      </c>
      <c r="AP38" s="356"/>
      <c r="AQ38" s="362">
        <v>26520000</v>
      </c>
      <c r="AR38" s="356">
        <v>916077.6</v>
      </c>
      <c r="AS38" s="357">
        <f>AM41-AN40-AO38-AQ38-AR38</f>
        <v>5563922.4</v>
      </c>
      <c r="AU38" s="35">
        <f>AS36-AS38</f>
        <v>11698801.113799999</v>
      </c>
      <c r="AX38" s="218"/>
    </row>
    <row r="39" spans="38:40" ht="11.25">
      <c r="AL39" s="60" t="s">
        <v>550</v>
      </c>
      <c r="AM39" s="35">
        <f>'[1]Sheet2'!I25</f>
        <v>3476278.5714285714</v>
      </c>
      <c r="AN39" s="35">
        <v>6443928.571428571</v>
      </c>
    </row>
    <row r="40" spans="34:40" ht="11.25">
      <c r="AH40" s="35">
        <f>AM36-AH38</f>
        <v>0</v>
      </c>
      <c r="AL40" s="60" t="s">
        <v>551</v>
      </c>
      <c r="AM40" s="35">
        <f>'[1]Sheet2'!I26</f>
        <v>2967650</v>
      </c>
      <c r="AN40" s="356">
        <f>AN38+AN39</f>
        <v>15843928.57142857</v>
      </c>
    </row>
    <row r="41" ht="11.25">
      <c r="AM41" s="60">
        <f>SUM(AM38:AM40)</f>
        <v>50843928.571428575</v>
      </c>
    </row>
    <row r="43" spans="39:45" ht="12.75">
      <c r="AM43" s="371" t="s">
        <v>552</v>
      </c>
      <c r="AN43" s="370">
        <f>AN40-AN36</f>
        <v>2144022.0852285717</v>
      </c>
      <c r="AO43" s="370">
        <f>AO38-AO36</f>
        <v>727758</v>
      </c>
      <c r="AP43" s="370">
        <f>AP38-AP36</f>
        <v>0</v>
      </c>
      <c r="AQ43" s="370">
        <f>AQ38-AQ36</f>
        <v>9187622</v>
      </c>
      <c r="AR43" s="370">
        <f>AR38-AR36</f>
        <v>-0.40000000002328306</v>
      </c>
      <c r="AS43" s="370">
        <f>AS38-AS36</f>
        <v>-11698801.113799999</v>
      </c>
    </row>
    <row r="44" ht="11.25">
      <c r="AN44" s="35" t="s">
        <v>33</v>
      </c>
    </row>
  </sheetData>
  <sheetProtection/>
  <mergeCells count="39">
    <mergeCell ref="C31:C33"/>
    <mergeCell ref="B31:B33"/>
    <mergeCell ref="C20:C21"/>
    <mergeCell ref="B20:B21"/>
    <mergeCell ref="B23:B25"/>
    <mergeCell ref="C23:C25"/>
    <mergeCell ref="B26:B27"/>
    <mergeCell ref="B29:E29"/>
    <mergeCell ref="C26:C27"/>
    <mergeCell ref="AO6:AR6"/>
    <mergeCell ref="C10:C12"/>
    <mergeCell ref="G5:G7"/>
    <mergeCell ref="B15:AS15"/>
    <mergeCell ref="AN6:AN7"/>
    <mergeCell ref="C16:C17"/>
    <mergeCell ref="AD5:AD7"/>
    <mergeCell ref="AE5:AE7"/>
    <mergeCell ref="A9:AS9"/>
    <mergeCell ref="B10:B12"/>
    <mergeCell ref="U5:W5"/>
    <mergeCell ref="X5:Z5"/>
    <mergeCell ref="AF5:AH5"/>
    <mergeCell ref="AI5:AK5"/>
    <mergeCell ref="AA4:AC5"/>
    <mergeCell ref="B2:Q2"/>
    <mergeCell ref="A3:E3"/>
    <mergeCell ref="H3:K3"/>
    <mergeCell ref="L3:AC3"/>
    <mergeCell ref="AD3:AK4"/>
    <mergeCell ref="A4:A7"/>
    <mergeCell ref="AN3:AS5"/>
    <mergeCell ref="AM3:AM7"/>
    <mergeCell ref="U4:Z4"/>
    <mergeCell ref="AL3:AL7"/>
    <mergeCell ref="AU3:AX5"/>
    <mergeCell ref="B4:C7"/>
    <mergeCell ref="D4:E7"/>
    <mergeCell ref="H4:K5"/>
    <mergeCell ref="L4:T5"/>
  </mergeCells>
  <printOp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dimension ref="A1:AT18"/>
  <sheetViews>
    <sheetView zoomScalePageLayoutView="0" workbookViewId="0" topLeftCell="A1">
      <selection activeCell="E10" sqref="E10"/>
    </sheetView>
  </sheetViews>
  <sheetFormatPr defaultColWidth="9.140625" defaultRowHeight="15"/>
  <cols>
    <col min="1" max="1" width="5.7109375" style="316" customWidth="1"/>
    <col min="2" max="2" width="4.57421875" style="316" customWidth="1"/>
    <col min="3" max="3" width="21.140625" style="317" customWidth="1"/>
    <col min="4" max="4" width="5.28125" style="318" customWidth="1"/>
    <col min="5" max="5" width="19.7109375" style="333" customWidth="1"/>
    <col min="6" max="6" width="14.8515625" style="319" customWidth="1"/>
    <col min="7" max="7" width="5.8515625" style="320" customWidth="1"/>
    <col min="8" max="8" width="7.7109375" style="321" customWidth="1"/>
    <col min="9" max="9" width="7.28125" style="321" customWidth="1"/>
    <col min="10" max="10" width="9.7109375" style="320" customWidth="1"/>
    <col min="11" max="11" width="10.00390625" style="322" customWidth="1"/>
    <col min="12" max="12" width="9.57421875" style="322" customWidth="1"/>
    <col min="13" max="13" width="10.8515625" style="322" customWidth="1"/>
    <col min="14" max="14" width="11.8515625" style="322" customWidth="1"/>
    <col min="15" max="15" width="12.140625" style="322" customWidth="1"/>
    <col min="16" max="16" width="12.8515625" style="322" customWidth="1"/>
    <col min="17" max="18" width="11.57421875" style="322" customWidth="1"/>
    <col min="19" max="19" width="10.7109375" style="323" customWidth="1"/>
    <col min="20" max="20" width="9.28125" style="324" customWidth="1"/>
    <col min="21" max="21" width="7.421875" style="324" customWidth="1"/>
    <col min="22" max="22" width="9.7109375" style="323" customWidth="1"/>
    <col min="23" max="23" width="7.140625" style="325" customWidth="1"/>
    <col min="24" max="24" width="6.8515625" style="325" customWidth="1"/>
    <col min="25" max="25" width="10.28125" style="325" customWidth="1"/>
    <col min="26" max="26" width="11.28125" style="326" customWidth="1"/>
    <col min="27" max="27" width="10.28125" style="326" customWidth="1"/>
    <col min="28" max="28" width="8.28125" style="326" customWidth="1"/>
    <col min="29" max="29" width="15.28125" style="326" customWidth="1"/>
    <col min="30" max="30" width="12.57421875" style="326" customWidth="1"/>
    <col min="31" max="31" width="7.28125" style="326" customWidth="1"/>
    <col min="32" max="32" width="13.140625" style="326" customWidth="1"/>
    <col min="33" max="33" width="9.28125" style="326" customWidth="1"/>
    <col min="34" max="34" width="6.8515625" style="326" customWidth="1"/>
    <col min="35" max="35" width="11.00390625" style="326" customWidth="1"/>
    <col min="36" max="36" width="10.7109375" style="326" customWidth="1"/>
    <col min="37" max="37" width="13.57421875" style="327" customWidth="1"/>
    <col min="38" max="38" width="10.57421875" style="325" customWidth="1"/>
    <col min="39" max="39" width="12.421875" style="326" customWidth="1"/>
    <col min="40" max="41" width="10.140625" style="326" customWidth="1"/>
    <col min="42" max="43" width="9.00390625" style="326" customWidth="1"/>
    <col min="44" max="44" width="12.28125" style="328" customWidth="1"/>
    <col min="45" max="46" width="9.8515625" style="302" bestFit="1" customWidth="1"/>
    <col min="47" max="47" width="11.8515625" style="303" customWidth="1"/>
    <col min="48" max="16384" width="9.140625" style="303" customWidth="1"/>
  </cols>
  <sheetData>
    <row r="1" spans="1:46" s="235" customFormat="1" ht="12.75">
      <c r="A1" s="222"/>
      <c r="B1" s="222"/>
      <c r="C1" s="223"/>
      <c r="D1" s="224"/>
      <c r="E1" s="329"/>
      <c r="F1" s="225"/>
      <c r="G1" s="226"/>
      <c r="H1" s="227"/>
      <c r="I1" s="227"/>
      <c r="J1" s="226"/>
      <c r="K1" s="228"/>
      <c r="L1" s="228"/>
      <c r="M1" s="228"/>
      <c r="N1" s="228"/>
      <c r="O1" s="228"/>
      <c r="P1" s="228"/>
      <c r="Q1" s="228"/>
      <c r="R1" s="228"/>
      <c r="S1" s="229"/>
      <c r="T1" s="230"/>
      <c r="U1" s="230"/>
      <c r="V1" s="229"/>
      <c r="W1" s="231"/>
      <c r="X1" s="231"/>
      <c r="Y1" s="231"/>
      <c r="Z1" s="232"/>
      <c r="AA1" s="232"/>
      <c r="AB1" s="232"/>
      <c r="AC1" s="232"/>
      <c r="AD1" s="232"/>
      <c r="AE1" s="232"/>
      <c r="AF1" s="232"/>
      <c r="AG1" s="232"/>
      <c r="AH1" s="232"/>
      <c r="AI1" s="232"/>
      <c r="AJ1" s="232"/>
      <c r="AK1" s="233"/>
      <c r="AL1" s="231"/>
      <c r="AM1" s="232"/>
      <c r="AN1" s="232"/>
      <c r="AO1" s="232"/>
      <c r="AP1" s="232"/>
      <c r="AQ1" s="232"/>
      <c r="AR1" s="234"/>
      <c r="AS1" s="236"/>
      <c r="AT1" s="236"/>
    </row>
    <row r="2" spans="1:46" s="235" customFormat="1" ht="13.5" customHeight="1" thickBot="1">
      <c r="A2" s="237"/>
      <c r="B2" s="915" t="s">
        <v>553</v>
      </c>
      <c r="C2" s="915"/>
      <c r="D2" s="915"/>
      <c r="E2" s="915"/>
      <c r="F2" s="915"/>
      <c r="G2" s="915"/>
      <c r="H2" s="915"/>
      <c r="I2" s="915"/>
      <c r="J2" s="915"/>
      <c r="K2" s="915"/>
      <c r="L2" s="915"/>
      <c r="M2" s="915"/>
      <c r="N2" s="915"/>
      <c r="O2" s="915"/>
      <c r="P2" s="915"/>
      <c r="Q2" s="238"/>
      <c r="R2" s="238"/>
      <c r="S2" s="237"/>
      <c r="T2" s="238"/>
      <c r="U2" s="238"/>
      <c r="V2" s="237"/>
      <c r="W2" s="237"/>
      <c r="X2" s="237"/>
      <c r="Y2" s="237"/>
      <c r="Z2" s="238"/>
      <c r="AA2" s="238"/>
      <c r="AB2" s="238"/>
      <c r="AC2" s="238"/>
      <c r="AD2" s="238"/>
      <c r="AE2" s="238"/>
      <c r="AF2" s="238"/>
      <c r="AG2" s="238"/>
      <c r="AH2" s="238"/>
      <c r="AI2" s="238"/>
      <c r="AJ2" s="238"/>
      <c r="AK2" s="237"/>
      <c r="AL2" s="231"/>
      <c r="AM2" s="232"/>
      <c r="AN2" s="232"/>
      <c r="AO2" s="232"/>
      <c r="AP2" s="232"/>
      <c r="AQ2" s="232"/>
      <c r="AR2" s="234"/>
      <c r="AS2" s="236"/>
      <c r="AT2" s="236"/>
    </row>
    <row r="3" spans="1:46" s="239" customFormat="1" ht="24" customHeight="1">
      <c r="A3" s="1186"/>
      <c r="B3" s="1187"/>
      <c r="C3" s="1187"/>
      <c r="D3" s="1187"/>
      <c r="E3" s="1188"/>
      <c r="F3" s="785"/>
      <c r="G3" s="1189" t="s">
        <v>228</v>
      </c>
      <c r="H3" s="1190"/>
      <c r="I3" s="1190"/>
      <c r="J3" s="1191"/>
      <c r="K3" s="1189"/>
      <c r="L3" s="1190"/>
      <c r="M3" s="1190"/>
      <c r="N3" s="1190"/>
      <c r="O3" s="1190"/>
      <c r="P3" s="1190"/>
      <c r="Q3" s="1190"/>
      <c r="R3" s="1190"/>
      <c r="S3" s="1190"/>
      <c r="T3" s="1190"/>
      <c r="U3" s="1190"/>
      <c r="V3" s="1190"/>
      <c r="W3" s="1190"/>
      <c r="X3" s="1190"/>
      <c r="Y3" s="1190"/>
      <c r="Z3" s="1190"/>
      <c r="AA3" s="1190"/>
      <c r="AB3" s="1191"/>
      <c r="AC3" s="956" t="s">
        <v>252</v>
      </c>
      <c r="AD3" s="957"/>
      <c r="AE3" s="957"/>
      <c r="AF3" s="957"/>
      <c r="AG3" s="957"/>
      <c r="AH3" s="957"/>
      <c r="AI3" s="957"/>
      <c r="AJ3" s="958"/>
      <c r="AK3" s="1161" t="s">
        <v>259</v>
      </c>
      <c r="AL3" s="1161" t="s">
        <v>258</v>
      </c>
      <c r="AM3" s="956" t="s">
        <v>260</v>
      </c>
      <c r="AN3" s="957"/>
      <c r="AO3" s="957"/>
      <c r="AP3" s="957"/>
      <c r="AQ3" s="957"/>
      <c r="AR3" s="1163"/>
      <c r="AS3" s="240"/>
      <c r="AT3" s="240"/>
    </row>
    <row r="4" spans="1:46" s="242" customFormat="1" ht="18" customHeight="1">
      <c r="A4" s="1168" t="s">
        <v>12</v>
      </c>
      <c r="B4" s="1171" t="s">
        <v>229</v>
      </c>
      <c r="C4" s="1172"/>
      <c r="D4" s="1171" t="s">
        <v>230</v>
      </c>
      <c r="E4" s="1172"/>
      <c r="F4" s="241"/>
      <c r="G4" s="1177" t="s">
        <v>232</v>
      </c>
      <c r="H4" s="1178"/>
      <c r="I4" s="1178"/>
      <c r="J4" s="1179"/>
      <c r="K4" s="1177" t="s">
        <v>237</v>
      </c>
      <c r="L4" s="1178"/>
      <c r="M4" s="1178"/>
      <c r="N4" s="1178"/>
      <c r="O4" s="1178"/>
      <c r="P4" s="1178"/>
      <c r="Q4" s="1178"/>
      <c r="R4" s="1178"/>
      <c r="S4" s="1179"/>
      <c r="T4" s="1158" t="s">
        <v>312</v>
      </c>
      <c r="U4" s="1159"/>
      <c r="V4" s="1159"/>
      <c r="W4" s="1159"/>
      <c r="X4" s="1159"/>
      <c r="Y4" s="1160"/>
      <c r="Z4" s="962" t="s">
        <v>247</v>
      </c>
      <c r="AA4" s="963"/>
      <c r="AB4" s="964"/>
      <c r="AC4" s="959"/>
      <c r="AD4" s="960"/>
      <c r="AE4" s="960"/>
      <c r="AF4" s="960"/>
      <c r="AG4" s="960"/>
      <c r="AH4" s="960"/>
      <c r="AI4" s="960"/>
      <c r="AJ4" s="961"/>
      <c r="AK4" s="1162"/>
      <c r="AL4" s="1162"/>
      <c r="AM4" s="959"/>
      <c r="AN4" s="960"/>
      <c r="AO4" s="960"/>
      <c r="AP4" s="960"/>
      <c r="AQ4" s="960"/>
      <c r="AR4" s="1164"/>
      <c r="AS4" s="243"/>
      <c r="AT4" s="243"/>
    </row>
    <row r="5" spans="1:46" s="242" customFormat="1" ht="16.5" customHeight="1">
      <c r="A5" s="1169"/>
      <c r="B5" s="1173"/>
      <c r="C5" s="1174"/>
      <c r="D5" s="1173"/>
      <c r="E5" s="1174"/>
      <c r="F5" s="1156" t="s">
        <v>231</v>
      </c>
      <c r="G5" s="1180"/>
      <c r="H5" s="1181"/>
      <c r="I5" s="1181"/>
      <c r="J5" s="1182"/>
      <c r="K5" s="1180"/>
      <c r="L5" s="1181"/>
      <c r="M5" s="1181"/>
      <c r="N5" s="1181"/>
      <c r="O5" s="1181"/>
      <c r="P5" s="1181"/>
      <c r="Q5" s="1181"/>
      <c r="R5" s="1181"/>
      <c r="S5" s="1182"/>
      <c r="T5" s="1158" t="s">
        <v>244</v>
      </c>
      <c r="U5" s="1159"/>
      <c r="V5" s="1160"/>
      <c r="W5" s="1183" t="s">
        <v>245</v>
      </c>
      <c r="X5" s="1184"/>
      <c r="Y5" s="1185"/>
      <c r="Z5" s="965"/>
      <c r="AA5" s="966"/>
      <c r="AB5" s="967"/>
      <c r="AC5" s="971" t="s">
        <v>251</v>
      </c>
      <c r="AD5" s="971" t="s">
        <v>250</v>
      </c>
      <c r="AE5" s="926" t="s">
        <v>253</v>
      </c>
      <c r="AF5" s="927"/>
      <c r="AG5" s="928"/>
      <c r="AH5" s="926" t="s">
        <v>256</v>
      </c>
      <c r="AI5" s="927"/>
      <c r="AJ5" s="928"/>
      <c r="AK5" s="1162"/>
      <c r="AL5" s="1162"/>
      <c r="AM5" s="1165"/>
      <c r="AN5" s="1166"/>
      <c r="AO5" s="1166"/>
      <c r="AP5" s="1166"/>
      <c r="AQ5" s="1166"/>
      <c r="AR5" s="1167"/>
      <c r="AS5" s="243"/>
      <c r="AT5" s="243"/>
    </row>
    <row r="6" spans="1:46" s="244" customFormat="1" ht="38.25" customHeight="1">
      <c r="A6" s="1170"/>
      <c r="B6" s="1175"/>
      <c r="C6" s="1176"/>
      <c r="D6" s="1175"/>
      <c r="E6" s="1176"/>
      <c r="F6" s="1157"/>
      <c r="G6" s="786" t="s">
        <v>320</v>
      </c>
      <c r="H6" s="746" t="s">
        <v>234</v>
      </c>
      <c r="I6" s="746" t="s">
        <v>235</v>
      </c>
      <c r="J6" s="746" t="s">
        <v>236</v>
      </c>
      <c r="K6" s="746" t="s">
        <v>238</v>
      </c>
      <c r="L6" s="746" t="s">
        <v>239</v>
      </c>
      <c r="M6" s="746" t="s">
        <v>240</v>
      </c>
      <c r="N6" s="746" t="s">
        <v>241</v>
      </c>
      <c r="O6" s="746" t="s">
        <v>314</v>
      </c>
      <c r="P6" s="746" t="s">
        <v>315</v>
      </c>
      <c r="Q6" s="746" t="s">
        <v>242</v>
      </c>
      <c r="R6" s="746"/>
      <c r="S6" s="747" t="s">
        <v>243</v>
      </c>
      <c r="T6" s="746" t="s">
        <v>246</v>
      </c>
      <c r="U6" s="786" t="s">
        <v>313</v>
      </c>
      <c r="V6" s="786" t="s">
        <v>2</v>
      </c>
      <c r="W6" s="746" t="s">
        <v>246</v>
      </c>
      <c r="X6" s="786" t="s">
        <v>313</v>
      </c>
      <c r="Y6" s="786" t="s">
        <v>1</v>
      </c>
      <c r="Z6" s="767" t="s">
        <v>248</v>
      </c>
      <c r="AA6" s="767" t="s">
        <v>249</v>
      </c>
      <c r="AB6" s="767" t="s">
        <v>1</v>
      </c>
      <c r="AC6" s="972"/>
      <c r="AD6" s="972"/>
      <c r="AE6" s="767" t="s">
        <v>254</v>
      </c>
      <c r="AF6" s="767" t="s">
        <v>255</v>
      </c>
      <c r="AG6" s="767" t="s">
        <v>243</v>
      </c>
      <c r="AH6" s="767" t="s">
        <v>257</v>
      </c>
      <c r="AI6" s="767" t="s">
        <v>255</v>
      </c>
      <c r="AJ6" s="767" t="s">
        <v>243</v>
      </c>
      <c r="AK6" s="972"/>
      <c r="AL6" s="972"/>
      <c r="AM6" s="594" t="s">
        <v>261</v>
      </c>
      <c r="AN6" s="595" t="s">
        <v>152</v>
      </c>
      <c r="AO6" s="595" t="s">
        <v>554</v>
      </c>
      <c r="AP6" s="595" t="s">
        <v>205</v>
      </c>
      <c r="AQ6" s="767" t="s">
        <v>206</v>
      </c>
      <c r="AR6" s="768" t="s">
        <v>262</v>
      </c>
      <c r="AS6" s="245"/>
      <c r="AT6" s="245"/>
    </row>
    <row r="7" spans="1:46" s="249" customFormat="1" ht="12.75">
      <c r="A7" s="787" t="s">
        <v>5</v>
      </c>
      <c r="B7" s="788" t="s">
        <v>7</v>
      </c>
      <c r="C7" s="246" t="s">
        <v>8</v>
      </c>
      <c r="D7" s="788" t="s">
        <v>9</v>
      </c>
      <c r="E7" s="330" t="s">
        <v>10</v>
      </c>
      <c r="F7" s="789"/>
      <c r="G7" s="247">
        <v>1</v>
      </c>
      <c r="H7" s="247">
        <v>2</v>
      </c>
      <c r="I7" s="247">
        <v>3</v>
      </c>
      <c r="J7" s="247">
        <v>4</v>
      </c>
      <c r="K7" s="247">
        <v>5</v>
      </c>
      <c r="L7" s="247">
        <v>6</v>
      </c>
      <c r="M7" s="247">
        <v>7</v>
      </c>
      <c r="N7" s="247">
        <v>8</v>
      </c>
      <c r="O7" s="247">
        <v>9</v>
      </c>
      <c r="P7" s="247">
        <v>10</v>
      </c>
      <c r="Q7" s="247">
        <v>11</v>
      </c>
      <c r="R7" s="247">
        <v>12</v>
      </c>
      <c r="S7" s="247">
        <v>13</v>
      </c>
      <c r="T7" s="247">
        <v>14</v>
      </c>
      <c r="U7" s="247">
        <v>15</v>
      </c>
      <c r="V7" s="247">
        <v>16</v>
      </c>
      <c r="W7" s="247">
        <v>17</v>
      </c>
      <c r="X7" s="247">
        <v>18</v>
      </c>
      <c r="Y7" s="247">
        <v>19</v>
      </c>
      <c r="Z7" s="247">
        <v>20</v>
      </c>
      <c r="AA7" s="247">
        <v>21</v>
      </c>
      <c r="AB7" s="247">
        <v>22</v>
      </c>
      <c r="AC7" s="247">
        <v>23</v>
      </c>
      <c r="AD7" s="247">
        <v>24</v>
      </c>
      <c r="AE7" s="247">
        <v>25</v>
      </c>
      <c r="AF7" s="247">
        <v>26</v>
      </c>
      <c r="AG7" s="247">
        <v>27</v>
      </c>
      <c r="AH7" s="247">
        <v>28</v>
      </c>
      <c r="AI7" s="247">
        <v>29</v>
      </c>
      <c r="AJ7" s="247">
        <v>30</v>
      </c>
      <c r="AK7" s="247">
        <v>31</v>
      </c>
      <c r="AL7" s="247">
        <v>32</v>
      </c>
      <c r="AM7" s="247">
        <v>33</v>
      </c>
      <c r="AN7" s="247">
        <v>34</v>
      </c>
      <c r="AO7" s="247">
        <v>35</v>
      </c>
      <c r="AP7" s="247">
        <v>36</v>
      </c>
      <c r="AQ7" s="247">
        <v>37</v>
      </c>
      <c r="AR7" s="247">
        <v>38</v>
      </c>
      <c r="AS7" s="250"/>
      <c r="AT7" s="250"/>
    </row>
    <row r="8" spans="1:46" s="249" customFormat="1" ht="32.25" customHeight="1">
      <c r="A8" s="1152" t="s">
        <v>555</v>
      </c>
      <c r="B8" s="1153"/>
      <c r="C8" s="1153"/>
      <c r="D8" s="1153"/>
      <c r="E8" s="1154"/>
      <c r="F8" s="404"/>
      <c r="G8" s="251"/>
      <c r="H8" s="251"/>
      <c r="I8" s="251"/>
      <c r="J8" s="251"/>
      <c r="K8" s="251"/>
      <c r="L8" s="251"/>
      <c r="M8" s="251"/>
      <c r="N8" s="251"/>
      <c r="O8" s="251"/>
      <c r="P8" s="251"/>
      <c r="Q8" s="251"/>
      <c r="R8" s="251"/>
      <c r="S8" s="252"/>
      <c r="T8" s="251"/>
      <c r="U8" s="251"/>
      <c r="V8" s="252"/>
      <c r="W8" s="251"/>
      <c r="X8" s="251"/>
      <c r="Y8" s="251"/>
      <c r="Z8" s="251"/>
      <c r="AA8" s="251"/>
      <c r="AB8" s="251"/>
      <c r="AC8" s="251"/>
      <c r="AD8" s="251"/>
      <c r="AE8" s="251"/>
      <c r="AF8" s="251"/>
      <c r="AG8" s="251"/>
      <c r="AH8" s="251"/>
      <c r="AI8" s="251"/>
      <c r="AJ8" s="251"/>
      <c r="AK8" s="251"/>
      <c r="AL8" s="251"/>
      <c r="AM8" s="251"/>
      <c r="AN8" s="251"/>
      <c r="AO8" s="251"/>
      <c r="AP8" s="251"/>
      <c r="AQ8" s="251"/>
      <c r="AR8" s="251"/>
      <c r="AS8" s="250"/>
      <c r="AT8" s="250"/>
    </row>
    <row r="9" spans="1:46" s="263" customFormat="1" ht="93.75" customHeight="1">
      <c r="A9" s="930"/>
      <c r="B9" s="929">
        <v>4.3</v>
      </c>
      <c r="C9" s="924" t="s">
        <v>556</v>
      </c>
      <c r="D9" s="254" t="s">
        <v>59</v>
      </c>
      <c r="E9" s="253" t="s">
        <v>557</v>
      </c>
      <c r="F9" s="254" t="s">
        <v>558</v>
      </c>
      <c r="G9" s="256"/>
      <c r="H9" s="256"/>
      <c r="I9" s="256"/>
      <c r="J9" s="257">
        <f>G9*H9*I9</f>
        <v>0</v>
      </c>
      <c r="K9" s="256">
        <v>9</v>
      </c>
      <c r="L9" s="256">
        <v>3</v>
      </c>
      <c r="M9" s="256">
        <v>20</v>
      </c>
      <c r="N9" s="256">
        <v>250</v>
      </c>
      <c r="O9" s="256">
        <v>20</v>
      </c>
      <c r="P9" s="256">
        <v>30</v>
      </c>
      <c r="Q9" s="256">
        <v>20</v>
      </c>
      <c r="R9" s="256"/>
      <c r="S9" s="258">
        <f>(K9*L9*N9)+(K9*L9*M9*O9)+(K9*L9*M9*P9)+(K9*M9*Q9)+(K9*L9*R9)</f>
        <v>37350</v>
      </c>
      <c r="T9" s="256"/>
      <c r="U9" s="256"/>
      <c r="V9" s="259">
        <v>50000</v>
      </c>
      <c r="W9" s="256" t="s">
        <v>33</v>
      </c>
      <c r="X9" s="256"/>
      <c r="Y9" s="259">
        <f>300000-S9</f>
        <v>262650</v>
      </c>
      <c r="Z9" s="256"/>
      <c r="AA9" s="256"/>
      <c r="AB9" s="260">
        <f>Z9*AA9</f>
        <v>0</v>
      </c>
      <c r="AC9" s="261"/>
      <c r="AD9" s="261"/>
      <c r="AE9" s="256"/>
      <c r="AF9" s="256"/>
      <c r="AG9" s="260">
        <f>AE9*AF9</f>
        <v>0</v>
      </c>
      <c r="AH9" s="256"/>
      <c r="AI9" s="256"/>
      <c r="AJ9" s="260">
        <f>AH9*AI9</f>
        <v>0</v>
      </c>
      <c r="AK9" s="266"/>
      <c r="AL9" s="259">
        <f aca="true" t="shared" si="0" ref="AL9:AL15">J9+S9+V9+Y9+AB9+AG9+AJ9+AK9+AC9+AD9</f>
        <v>350000</v>
      </c>
      <c r="AM9" s="256"/>
      <c r="AN9" s="267">
        <v>300000</v>
      </c>
      <c r="AO9" s="267">
        <v>50000</v>
      </c>
      <c r="AP9" s="256"/>
      <c r="AQ9" s="256"/>
      <c r="AR9" s="262">
        <f aca="true" t="shared" si="1" ref="AR9:AR15">AL9-AM9-AN9-AO9-AP9-AQ9</f>
        <v>0</v>
      </c>
      <c r="AS9" s="265"/>
      <c r="AT9" s="265"/>
    </row>
    <row r="10" spans="1:46" s="263" customFormat="1" ht="54" customHeight="1">
      <c r="A10" s="930"/>
      <c r="B10" s="930"/>
      <c r="C10" s="924"/>
      <c r="D10" s="254" t="s">
        <v>175</v>
      </c>
      <c r="E10" s="358" t="s">
        <v>559</v>
      </c>
      <c r="F10" s="254" t="s">
        <v>560</v>
      </c>
      <c r="G10" s="256"/>
      <c r="H10" s="256"/>
      <c r="I10" s="256"/>
      <c r="J10" s="257"/>
      <c r="K10" s="256"/>
      <c r="L10" s="256"/>
      <c r="M10" s="256"/>
      <c r="N10" s="256"/>
      <c r="O10" s="256"/>
      <c r="P10" s="256"/>
      <c r="Q10" s="256"/>
      <c r="R10" s="256"/>
      <c r="S10" s="258">
        <f>(K10*L10*N10)+(K10*L10*M10*O10)+(K10*L10*M10*P10)+(K10*M10*Q10)+(K10*L10*R10)</f>
        <v>0</v>
      </c>
      <c r="T10" s="256"/>
      <c r="U10" s="256"/>
      <c r="V10" s="259"/>
      <c r="W10" s="256"/>
      <c r="X10" s="256"/>
      <c r="Y10" s="259">
        <v>200000</v>
      </c>
      <c r="Z10" s="256"/>
      <c r="AA10" s="256"/>
      <c r="AB10" s="260"/>
      <c r="AC10" s="261"/>
      <c r="AD10" s="261"/>
      <c r="AE10" s="256"/>
      <c r="AF10" s="256"/>
      <c r="AG10" s="260"/>
      <c r="AH10" s="256"/>
      <c r="AI10" s="256"/>
      <c r="AJ10" s="260"/>
      <c r="AK10" s="266"/>
      <c r="AL10" s="259">
        <f t="shared" si="0"/>
        <v>200000</v>
      </c>
      <c r="AM10" s="256"/>
      <c r="AN10" s="267"/>
      <c r="AO10" s="267">
        <v>200000</v>
      </c>
      <c r="AP10" s="262"/>
      <c r="AQ10" s="262"/>
      <c r="AR10" s="262">
        <f t="shared" si="1"/>
        <v>0</v>
      </c>
      <c r="AS10" s="265"/>
      <c r="AT10" s="265"/>
    </row>
    <row r="11" spans="1:46" s="263" customFormat="1" ht="57.75" customHeight="1">
      <c r="A11" s="930"/>
      <c r="B11" s="930"/>
      <c r="C11" s="924"/>
      <c r="D11" s="254" t="s">
        <v>201</v>
      </c>
      <c r="E11" s="358" t="s">
        <v>561</v>
      </c>
      <c r="F11" s="254" t="s">
        <v>562</v>
      </c>
      <c r="G11" s="256"/>
      <c r="H11" s="256"/>
      <c r="I11" s="256"/>
      <c r="J11" s="257"/>
      <c r="K11" s="256">
        <v>6</v>
      </c>
      <c r="L11" s="256">
        <v>5</v>
      </c>
      <c r="M11" s="256">
        <v>20</v>
      </c>
      <c r="N11" s="256">
        <v>250</v>
      </c>
      <c r="O11" s="256">
        <v>20</v>
      </c>
      <c r="P11" s="256">
        <v>30</v>
      </c>
      <c r="Q11" s="256">
        <v>20</v>
      </c>
      <c r="R11" s="256"/>
      <c r="S11" s="258">
        <f>(K11*L11*N11)+(K11*L11*M11*O11)+(K11*L11*M11*P11)+(K11*M11*Q11)+(K11*L11*R11)</f>
        <v>39900</v>
      </c>
      <c r="T11" s="256"/>
      <c r="U11" s="256"/>
      <c r="V11" s="259"/>
      <c r="W11" s="256"/>
      <c r="X11" s="256"/>
      <c r="Y11" s="259"/>
      <c r="Z11" s="256"/>
      <c r="AA11" s="256"/>
      <c r="AB11" s="260"/>
      <c r="AC11" s="261"/>
      <c r="AD11" s="261"/>
      <c r="AE11" s="256"/>
      <c r="AF11" s="256"/>
      <c r="AG11" s="260"/>
      <c r="AH11" s="256"/>
      <c r="AI11" s="256"/>
      <c r="AJ11" s="260"/>
      <c r="AK11" s="266"/>
      <c r="AL11" s="259">
        <f t="shared" si="0"/>
        <v>39900</v>
      </c>
      <c r="AM11" s="256"/>
      <c r="AN11" s="267"/>
      <c r="AO11" s="267">
        <v>15000</v>
      </c>
      <c r="AP11" s="262"/>
      <c r="AQ11" s="262"/>
      <c r="AR11" s="262">
        <f t="shared" si="1"/>
        <v>24900</v>
      </c>
      <c r="AS11" s="265"/>
      <c r="AT11" s="265"/>
    </row>
    <row r="12" spans="1:46" s="263" customFormat="1" ht="45.75" customHeight="1">
      <c r="A12" s="1155"/>
      <c r="B12" s="1155"/>
      <c r="C12" s="924"/>
      <c r="D12" s="254" t="s">
        <v>202</v>
      </c>
      <c r="E12" s="253" t="s">
        <v>563</v>
      </c>
      <c r="F12" s="405"/>
      <c r="G12" s="256"/>
      <c r="H12" s="256"/>
      <c r="I12" s="256"/>
      <c r="J12" s="257">
        <f>G12*H12*I12</f>
        <v>0</v>
      </c>
      <c r="K12" s="256"/>
      <c r="L12" s="256"/>
      <c r="M12" s="256"/>
      <c r="N12" s="256"/>
      <c r="O12" s="256"/>
      <c r="P12" s="256"/>
      <c r="Q12" s="256"/>
      <c r="R12" s="256"/>
      <c r="S12" s="258">
        <f>(K12*L12*N12)+(K12*L12*M12*O12)+(K12*L12*M12*P12)+(K12*M12*Q12)+(K12*L12*R12)</f>
        <v>0</v>
      </c>
      <c r="T12" s="256"/>
      <c r="U12" s="256"/>
      <c r="V12" s="259">
        <v>50000</v>
      </c>
      <c r="W12" s="256"/>
      <c r="X12" s="256"/>
      <c r="Y12" s="259">
        <v>50000</v>
      </c>
      <c r="Z12" s="256"/>
      <c r="AA12" s="256"/>
      <c r="AB12" s="260">
        <f>Z12*AA12</f>
        <v>0</v>
      </c>
      <c r="AC12" s="261"/>
      <c r="AD12" s="261"/>
      <c r="AE12" s="256"/>
      <c r="AF12" s="256"/>
      <c r="AG12" s="260">
        <v>100000</v>
      </c>
      <c r="AH12" s="256"/>
      <c r="AI12" s="256"/>
      <c r="AJ12" s="260">
        <f>AH12*AI12</f>
        <v>0</v>
      </c>
      <c r="AK12" s="261"/>
      <c r="AL12" s="259">
        <f t="shared" si="0"/>
        <v>200000</v>
      </c>
      <c r="AM12" s="256"/>
      <c r="AN12" s="267">
        <v>200000</v>
      </c>
      <c r="AO12" s="267"/>
      <c r="AP12" s="256"/>
      <c r="AQ12" s="256"/>
      <c r="AR12" s="262">
        <f t="shared" si="1"/>
        <v>0</v>
      </c>
      <c r="AS12" s="265"/>
      <c r="AT12" s="265"/>
    </row>
    <row r="13" spans="1:46" s="263" customFormat="1" ht="22.5" customHeight="1">
      <c r="A13" s="479"/>
      <c r="B13" s="479"/>
      <c r="C13" s="480"/>
      <c r="D13" s="481"/>
      <c r="E13" s="480"/>
      <c r="F13" s="482"/>
      <c r="G13" s="483"/>
      <c r="H13" s="483"/>
      <c r="I13" s="483"/>
      <c r="J13" s="484">
        <f aca="true" t="shared" si="2" ref="J13:AR13">SUM(J9:J12)</f>
        <v>0</v>
      </c>
      <c r="K13" s="484">
        <f t="shared" si="2"/>
        <v>15</v>
      </c>
      <c r="L13" s="484">
        <f t="shared" si="2"/>
        <v>8</v>
      </c>
      <c r="M13" s="484">
        <f t="shared" si="2"/>
        <v>40</v>
      </c>
      <c r="N13" s="484">
        <f t="shared" si="2"/>
        <v>500</v>
      </c>
      <c r="O13" s="484">
        <f t="shared" si="2"/>
        <v>40</v>
      </c>
      <c r="P13" s="484">
        <f t="shared" si="2"/>
        <v>60</v>
      </c>
      <c r="Q13" s="484">
        <f t="shared" si="2"/>
        <v>40</v>
      </c>
      <c r="R13" s="484">
        <f t="shared" si="2"/>
        <v>0</v>
      </c>
      <c r="S13" s="484">
        <f t="shared" si="2"/>
        <v>77250</v>
      </c>
      <c r="T13" s="484">
        <f t="shared" si="2"/>
        <v>0</v>
      </c>
      <c r="U13" s="484">
        <f t="shared" si="2"/>
        <v>0</v>
      </c>
      <c r="V13" s="484">
        <f t="shared" si="2"/>
        <v>100000</v>
      </c>
      <c r="W13" s="484">
        <f t="shared" si="2"/>
        <v>0</v>
      </c>
      <c r="X13" s="484">
        <f t="shared" si="2"/>
        <v>0</v>
      </c>
      <c r="Y13" s="484">
        <f t="shared" si="2"/>
        <v>512650</v>
      </c>
      <c r="Z13" s="484">
        <f t="shared" si="2"/>
        <v>0</v>
      </c>
      <c r="AA13" s="484">
        <f t="shared" si="2"/>
        <v>0</v>
      </c>
      <c r="AB13" s="484">
        <f t="shared" si="2"/>
        <v>0</v>
      </c>
      <c r="AC13" s="484">
        <f t="shared" si="2"/>
        <v>0</v>
      </c>
      <c r="AD13" s="484">
        <f t="shared" si="2"/>
        <v>0</v>
      </c>
      <c r="AE13" s="484">
        <f t="shared" si="2"/>
        <v>0</v>
      </c>
      <c r="AF13" s="484">
        <f t="shared" si="2"/>
        <v>0</v>
      </c>
      <c r="AG13" s="484">
        <f t="shared" si="2"/>
        <v>100000</v>
      </c>
      <c r="AH13" s="484">
        <f t="shared" si="2"/>
        <v>0</v>
      </c>
      <c r="AI13" s="484">
        <f t="shared" si="2"/>
        <v>0</v>
      </c>
      <c r="AJ13" s="484">
        <f t="shared" si="2"/>
        <v>0</v>
      </c>
      <c r="AK13" s="484">
        <f t="shared" si="2"/>
        <v>0</v>
      </c>
      <c r="AL13" s="484">
        <f t="shared" si="2"/>
        <v>789900</v>
      </c>
      <c r="AM13" s="484">
        <f t="shared" si="2"/>
        <v>0</v>
      </c>
      <c r="AN13" s="484">
        <f t="shared" si="2"/>
        <v>500000</v>
      </c>
      <c r="AO13" s="484">
        <f t="shared" si="2"/>
        <v>265000</v>
      </c>
      <c r="AP13" s="484">
        <f t="shared" si="2"/>
        <v>0</v>
      </c>
      <c r="AQ13" s="484">
        <f t="shared" si="2"/>
        <v>0</v>
      </c>
      <c r="AR13" s="484">
        <f t="shared" si="2"/>
        <v>24900</v>
      </c>
      <c r="AS13" s="265"/>
      <c r="AT13" s="265"/>
    </row>
    <row r="14" spans="1:46" s="249" customFormat="1" ht="37.5" customHeight="1">
      <c r="A14" s="1151" t="s">
        <v>564</v>
      </c>
      <c r="B14" s="1151"/>
      <c r="C14" s="1151"/>
      <c r="D14" s="1151"/>
      <c r="E14" s="11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0"/>
      <c r="AT14" s="250"/>
    </row>
    <row r="15" spans="1:44" ht="48" customHeight="1">
      <c r="A15" s="334">
        <v>5</v>
      </c>
      <c r="B15" s="334">
        <v>5.3</v>
      </c>
      <c r="C15" s="418" t="s">
        <v>565</v>
      </c>
      <c r="D15" s="269"/>
      <c r="E15" s="253" t="s">
        <v>566</v>
      </c>
      <c r="F15" s="253"/>
      <c r="G15" s="419"/>
      <c r="H15" s="420"/>
      <c r="I15" s="420"/>
      <c r="J15" s="257">
        <f>G15*H15*I15</f>
        <v>0</v>
      </c>
      <c r="K15" s="272"/>
      <c r="L15" s="272"/>
      <c r="M15" s="272"/>
      <c r="N15" s="272"/>
      <c r="O15" s="272"/>
      <c r="P15" s="272"/>
      <c r="Q15" s="272"/>
      <c r="R15" s="272"/>
      <c r="S15" s="258">
        <f>322*500</f>
        <v>161000</v>
      </c>
      <c r="T15" s="273"/>
      <c r="U15" s="273"/>
      <c r="V15" s="259">
        <f>T15*U15</f>
        <v>0</v>
      </c>
      <c r="W15" s="274"/>
      <c r="X15" s="274"/>
      <c r="Y15" s="259">
        <f>W15*X15</f>
        <v>0</v>
      </c>
      <c r="Z15" s="275"/>
      <c r="AA15" s="275"/>
      <c r="AB15" s="260">
        <f>Z15*AA15</f>
        <v>0</v>
      </c>
      <c r="AC15" s="260">
        <f>322*15000</f>
        <v>4830000</v>
      </c>
      <c r="AD15" s="260">
        <f>(61*20000)+(322*1000)</f>
        <v>1542000</v>
      </c>
      <c r="AE15" s="419">
        <v>322</v>
      </c>
      <c r="AF15" s="419">
        <v>2500</v>
      </c>
      <c r="AG15" s="260">
        <f>AE15*AF15</f>
        <v>805000</v>
      </c>
      <c r="AH15" s="419"/>
      <c r="AI15" s="419"/>
      <c r="AJ15" s="260">
        <f>AH15*AI15</f>
        <v>0</v>
      </c>
      <c r="AK15" s="259"/>
      <c r="AL15" s="259">
        <f t="shared" si="0"/>
        <v>7338000</v>
      </c>
      <c r="AM15" s="276">
        <v>4300000</v>
      </c>
      <c r="AN15" s="276"/>
      <c r="AO15" s="276"/>
      <c r="AP15" s="276"/>
      <c r="AQ15" s="276"/>
      <c r="AR15" s="262">
        <f t="shared" si="1"/>
        <v>3038000</v>
      </c>
    </row>
    <row r="16" spans="1:44" ht="12.75">
      <c r="A16" s="304"/>
      <c r="B16" s="304"/>
      <c r="C16" s="314"/>
      <c r="D16" s="315"/>
      <c r="E16" s="332"/>
      <c r="F16" s="305"/>
      <c r="G16" s="306"/>
      <c r="H16" s="307"/>
      <c r="I16" s="307"/>
      <c r="J16" s="257">
        <f>J13+J15</f>
        <v>0</v>
      </c>
      <c r="K16" s="257">
        <f aca="true" t="shared" si="3" ref="K16:AR16">K13+K15</f>
        <v>15</v>
      </c>
      <c r="L16" s="257">
        <f t="shared" si="3"/>
        <v>8</v>
      </c>
      <c r="M16" s="257">
        <f t="shared" si="3"/>
        <v>40</v>
      </c>
      <c r="N16" s="257">
        <f t="shared" si="3"/>
        <v>500</v>
      </c>
      <c r="O16" s="257">
        <f t="shared" si="3"/>
        <v>40</v>
      </c>
      <c r="P16" s="257">
        <f t="shared" si="3"/>
        <v>60</v>
      </c>
      <c r="Q16" s="257">
        <f t="shared" si="3"/>
        <v>40</v>
      </c>
      <c r="R16" s="257">
        <f t="shared" si="3"/>
        <v>0</v>
      </c>
      <c r="S16" s="257">
        <f t="shared" si="3"/>
        <v>238250</v>
      </c>
      <c r="T16" s="257">
        <f t="shared" si="3"/>
        <v>0</v>
      </c>
      <c r="U16" s="257">
        <f t="shared" si="3"/>
        <v>0</v>
      </c>
      <c r="V16" s="257">
        <f t="shared" si="3"/>
        <v>100000</v>
      </c>
      <c r="W16" s="257">
        <f t="shared" si="3"/>
        <v>0</v>
      </c>
      <c r="X16" s="257">
        <f t="shared" si="3"/>
        <v>0</v>
      </c>
      <c r="Y16" s="257">
        <f t="shared" si="3"/>
        <v>512650</v>
      </c>
      <c r="Z16" s="257">
        <f t="shared" si="3"/>
        <v>0</v>
      </c>
      <c r="AA16" s="257">
        <f t="shared" si="3"/>
        <v>0</v>
      </c>
      <c r="AB16" s="257">
        <f t="shared" si="3"/>
        <v>0</v>
      </c>
      <c r="AC16" s="257">
        <f t="shared" si="3"/>
        <v>4830000</v>
      </c>
      <c r="AD16" s="257">
        <f t="shared" si="3"/>
        <v>1542000</v>
      </c>
      <c r="AE16" s="257">
        <f t="shared" si="3"/>
        <v>322</v>
      </c>
      <c r="AF16" s="257">
        <f t="shared" si="3"/>
        <v>2500</v>
      </c>
      <c r="AG16" s="257">
        <f t="shared" si="3"/>
        <v>905000</v>
      </c>
      <c r="AH16" s="257">
        <f t="shared" si="3"/>
        <v>0</v>
      </c>
      <c r="AI16" s="257">
        <f t="shared" si="3"/>
        <v>0</v>
      </c>
      <c r="AJ16" s="257">
        <f t="shared" si="3"/>
        <v>0</v>
      </c>
      <c r="AK16" s="257">
        <f t="shared" si="3"/>
        <v>0</v>
      </c>
      <c r="AL16" s="257">
        <f t="shared" si="3"/>
        <v>8127900</v>
      </c>
      <c r="AM16" s="257">
        <f t="shared" si="3"/>
        <v>4300000</v>
      </c>
      <c r="AN16" s="257">
        <f t="shared" si="3"/>
        <v>500000</v>
      </c>
      <c r="AO16" s="257">
        <f t="shared" si="3"/>
        <v>265000</v>
      </c>
      <c r="AP16" s="257">
        <f t="shared" si="3"/>
        <v>0</v>
      </c>
      <c r="AQ16" s="257">
        <f t="shared" si="3"/>
        <v>0</v>
      </c>
      <c r="AR16" s="257">
        <f t="shared" si="3"/>
        <v>3062900</v>
      </c>
    </row>
    <row r="18" spans="38:44" ht="12.75">
      <c r="AL18" s="325">
        <f>AM16+AN16+AO16+AP16+AQ16+AR16</f>
        <v>8127900</v>
      </c>
      <c r="AR18" s="326"/>
    </row>
    <row r="20" ht="12.75" customHeight="1"/>
  </sheetData>
  <sheetProtection/>
  <mergeCells count="27">
    <mergeCell ref="W5:Y5"/>
    <mergeCell ref="AC5:AC6"/>
    <mergeCell ref="B2:P2"/>
    <mergeCell ref="A3:E3"/>
    <mergeCell ref="G3:J3"/>
    <mergeCell ref="K3:AB3"/>
    <mergeCell ref="AC3:AJ4"/>
    <mergeCell ref="AL3:AL6"/>
    <mergeCell ref="AM3:AR5"/>
    <mergeCell ref="A4:A6"/>
    <mergeCell ref="B4:C6"/>
    <mergeCell ref="D4:E6"/>
    <mergeCell ref="G4:J5"/>
    <mergeCell ref="K4:S5"/>
    <mergeCell ref="T4:Y4"/>
    <mergeCell ref="Z4:AB5"/>
    <mergeCell ref="AK3:AK6"/>
    <mergeCell ref="A14:E14"/>
    <mergeCell ref="AD5:AD6"/>
    <mergeCell ref="AE5:AG5"/>
    <mergeCell ref="AH5:AJ5"/>
    <mergeCell ref="A8:E8"/>
    <mergeCell ref="A9:A12"/>
    <mergeCell ref="B9:B12"/>
    <mergeCell ref="C9:C12"/>
    <mergeCell ref="F5:F6"/>
    <mergeCell ref="T5:V5"/>
  </mergeCells>
  <printOp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dimension ref="A1:AS28"/>
  <sheetViews>
    <sheetView zoomScalePageLayoutView="0" workbookViewId="0" topLeftCell="A1">
      <selection activeCell="F10" sqref="F10"/>
    </sheetView>
  </sheetViews>
  <sheetFormatPr defaultColWidth="9.140625" defaultRowHeight="15"/>
  <cols>
    <col min="1" max="1" width="5.57421875" style="316" customWidth="1"/>
    <col min="2" max="2" width="4.57421875" style="316" customWidth="1"/>
    <col min="3" max="3" width="21.140625" style="317" customWidth="1"/>
    <col min="4" max="4" width="5.28125" style="318" customWidth="1"/>
    <col min="5" max="5" width="19.7109375" style="333" customWidth="1"/>
    <col min="6" max="6" width="17.421875" style="319" customWidth="1"/>
    <col min="7" max="7" width="5.8515625" style="320" customWidth="1"/>
    <col min="8" max="8" width="7.7109375" style="321" customWidth="1"/>
    <col min="9" max="9" width="7.28125" style="321" customWidth="1"/>
    <col min="10" max="10" width="9.7109375" style="320" customWidth="1"/>
    <col min="11" max="11" width="10.00390625" style="322" customWidth="1"/>
    <col min="12" max="12" width="9.57421875" style="322" customWidth="1"/>
    <col min="13" max="13" width="10.8515625" style="322" customWidth="1"/>
    <col min="14" max="14" width="11.8515625" style="322" customWidth="1"/>
    <col min="15" max="15" width="12.140625" style="322" customWidth="1"/>
    <col min="16" max="16" width="12.8515625" style="322" customWidth="1"/>
    <col min="17" max="17" width="17.7109375" style="322" customWidth="1"/>
    <col min="18" max="18" width="11.57421875" style="322" customWidth="1"/>
    <col min="19" max="19" width="10.7109375" style="323" customWidth="1"/>
    <col min="20" max="20" width="9.28125" style="324" customWidth="1"/>
    <col min="21" max="21" width="7.421875" style="324" customWidth="1"/>
    <col min="22" max="22" width="9.7109375" style="323" customWidth="1"/>
    <col min="23" max="23" width="10.00390625" style="325" customWidth="1"/>
    <col min="24" max="24" width="6.8515625" style="325" customWidth="1"/>
    <col min="25" max="25" width="10.28125" style="325" customWidth="1"/>
    <col min="26" max="26" width="11.28125" style="326" customWidth="1"/>
    <col min="27" max="27" width="10.28125" style="326" customWidth="1"/>
    <col min="28" max="28" width="8.28125" style="326" customWidth="1"/>
    <col min="29" max="29" width="15.28125" style="326" customWidth="1"/>
    <col min="30" max="30" width="12.57421875" style="326" customWidth="1"/>
    <col min="31" max="31" width="7.28125" style="326" customWidth="1"/>
    <col min="32" max="32" width="13.140625" style="326" customWidth="1"/>
    <col min="33" max="33" width="9.28125" style="326" customWidth="1"/>
    <col min="34" max="34" width="6.8515625" style="326" customWidth="1"/>
    <col min="35" max="35" width="11.00390625" style="326" customWidth="1"/>
    <col min="36" max="36" width="10.7109375" style="326" customWidth="1"/>
    <col min="37" max="37" width="13.57421875" style="327" customWidth="1"/>
    <col min="38" max="38" width="10.57421875" style="325" customWidth="1"/>
    <col min="39" max="39" width="12.421875" style="417" customWidth="1"/>
    <col min="40" max="41" width="10.140625" style="326" customWidth="1"/>
    <col min="42" max="43" width="9.00390625" style="326" customWidth="1"/>
    <col min="44" max="44" width="12.28125" style="328" customWidth="1"/>
    <col min="45" max="45" width="9.8515625" style="302" bestFit="1" customWidth="1"/>
    <col min="46" max="46" width="11.8515625" style="303" customWidth="1"/>
    <col min="47" max="16384" width="9.140625" style="303" customWidth="1"/>
  </cols>
  <sheetData>
    <row r="1" spans="1:45" s="235" customFormat="1" ht="12.75">
      <c r="A1" s="222"/>
      <c r="B1" s="222"/>
      <c r="C1" s="223"/>
      <c r="D1" s="224"/>
      <c r="E1" s="329"/>
      <c r="F1" s="225"/>
      <c r="G1" s="226"/>
      <c r="H1" s="227"/>
      <c r="I1" s="227"/>
      <c r="J1" s="226"/>
      <c r="K1" s="228"/>
      <c r="L1" s="228"/>
      <c r="M1" s="228"/>
      <c r="N1" s="228"/>
      <c r="O1" s="228"/>
      <c r="P1" s="228"/>
      <c r="Q1" s="228"/>
      <c r="R1" s="228"/>
      <c r="S1" s="229"/>
      <c r="T1" s="230"/>
      <c r="U1" s="230"/>
      <c r="V1" s="229"/>
      <c r="W1" s="231"/>
      <c r="X1" s="231"/>
      <c r="Y1" s="231"/>
      <c r="Z1" s="232"/>
      <c r="AA1" s="232"/>
      <c r="AB1" s="232"/>
      <c r="AC1" s="232"/>
      <c r="AD1" s="232"/>
      <c r="AE1" s="232"/>
      <c r="AF1" s="232"/>
      <c r="AG1" s="232"/>
      <c r="AH1" s="232"/>
      <c r="AI1" s="232"/>
      <c r="AJ1" s="232"/>
      <c r="AK1" s="233"/>
      <c r="AL1" s="231"/>
      <c r="AM1" s="414"/>
      <c r="AN1" s="232"/>
      <c r="AO1" s="232"/>
      <c r="AP1" s="232"/>
      <c r="AQ1" s="232"/>
      <c r="AR1" s="234"/>
      <c r="AS1" s="236"/>
    </row>
    <row r="2" spans="1:45" s="235" customFormat="1" ht="13.5" customHeight="1" thickBot="1">
      <c r="A2" s="237"/>
      <c r="B2" s="915"/>
      <c r="C2" s="915"/>
      <c r="D2" s="915"/>
      <c r="E2" s="915"/>
      <c r="F2" s="915"/>
      <c r="G2" s="915"/>
      <c r="H2" s="915"/>
      <c r="I2" s="915"/>
      <c r="J2" s="915"/>
      <c r="K2" s="915"/>
      <c r="L2" s="915"/>
      <c r="M2" s="915"/>
      <c r="N2" s="915"/>
      <c r="O2" s="915"/>
      <c r="P2" s="915"/>
      <c r="Q2" s="238"/>
      <c r="R2" s="238"/>
      <c r="S2" s="237"/>
      <c r="T2" s="238"/>
      <c r="U2" s="238"/>
      <c r="V2" s="237"/>
      <c r="W2" s="237"/>
      <c r="X2" s="237"/>
      <c r="Y2" s="237"/>
      <c r="Z2" s="238"/>
      <c r="AA2" s="238"/>
      <c r="AB2" s="238"/>
      <c r="AC2" s="238"/>
      <c r="AD2" s="238"/>
      <c r="AE2" s="238"/>
      <c r="AF2" s="238"/>
      <c r="AG2" s="238"/>
      <c r="AH2" s="238"/>
      <c r="AI2" s="238"/>
      <c r="AJ2" s="238"/>
      <c r="AK2" s="237"/>
      <c r="AL2" s="231"/>
      <c r="AM2" s="414"/>
      <c r="AN2" s="232"/>
      <c r="AO2" s="232"/>
      <c r="AP2" s="232"/>
      <c r="AQ2" s="232"/>
      <c r="AR2" s="234"/>
      <c r="AS2" s="236"/>
    </row>
    <row r="3" spans="1:45" s="239" customFormat="1" ht="24" customHeight="1">
      <c r="A3" s="916"/>
      <c r="B3" s="917"/>
      <c r="C3" s="917"/>
      <c r="D3" s="917"/>
      <c r="E3" s="918"/>
      <c r="F3" s="770"/>
      <c r="G3" s="919" t="s">
        <v>228</v>
      </c>
      <c r="H3" s="920"/>
      <c r="I3" s="920"/>
      <c r="J3" s="921"/>
      <c r="K3" s="919"/>
      <c r="L3" s="920"/>
      <c r="M3" s="920"/>
      <c r="N3" s="920"/>
      <c r="O3" s="920"/>
      <c r="P3" s="920"/>
      <c r="Q3" s="920"/>
      <c r="R3" s="920"/>
      <c r="S3" s="920"/>
      <c r="T3" s="920"/>
      <c r="U3" s="920"/>
      <c r="V3" s="920"/>
      <c r="W3" s="920"/>
      <c r="X3" s="920"/>
      <c r="Y3" s="920"/>
      <c r="Z3" s="920"/>
      <c r="AA3" s="920"/>
      <c r="AB3" s="921"/>
      <c r="AC3" s="956" t="s">
        <v>252</v>
      </c>
      <c r="AD3" s="957"/>
      <c r="AE3" s="957"/>
      <c r="AF3" s="957"/>
      <c r="AG3" s="957"/>
      <c r="AH3" s="957"/>
      <c r="AI3" s="957"/>
      <c r="AJ3" s="958"/>
      <c r="AK3" s="968" t="s">
        <v>259</v>
      </c>
      <c r="AL3" s="968" t="s">
        <v>258</v>
      </c>
      <c r="AM3" s="956" t="s">
        <v>260</v>
      </c>
      <c r="AN3" s="957"/>
      <c r="AO3" s="957"/>
      <c r="AP3" s="957"/>
      <c r="AQ3" s="957"/>
      <c r="AR3" s="1163"/>
      <c r="AS3" s="240"/>
    </row>
    <row r="4" spans="1:45" s="242" customFormat="1" ht="18" customHeight="1">
      <c r="A4" s="931" t="s">
        <v>12</v>
      </c>
      <c r="B4" s="934" t="s">
        <v>229</v>
      </c>
      <c r="C4" s="935"/>
      <c r="D4" s="934" t="s">
        <v>230</v>
      </c>
      <c r="E4" s="935"/>
      <c r="F4" s="589"/>
      <c r="G4" s="940" t="s">
        <v>232</v>
      </c>
      <c r="H4" s="941"/>
      <c r="I4" s="941"/>
      <c r="J4" s="942"/>
      <c r="K4" s="940" t="s">
        <v>33</v>
      </c>
      <c r="L4" s="941"/>
      <c r="M4" s="941"/>
      <c r="N4" s="941"/>
      <c r="O4" s="941"/>
      <c r="P4" s="941"/>
      <c r="Q4" s="941"/>
      <c r="R4" s="941"/>
      <c r="S4" s="942"/>
      <c r="T4" s="926" t="s">
        <v>312</v>
      </c>
      <c r="U4" s="927"/>
      <c r="V4" s="927"/>
      <c r="W4" s="927"/>
      <c r="X4" s="927"/>
      <c r="Y4" s="928"/>
      <c r="Z4" s="962" t="s">
        <v>247</v>
      </c>
      <c r="AA4" s="963"/>
      <c r="AB4" s="964"/>
      <c r="AC4" s="1165"/>
      <c r="AD4" s="1166"/>
      <c r="AE4" s="1166"/>
      <c r="AF4" s="1166"/>
      <c r="AG4" s="1166"/>
      <c r="AH4" s="1166"/>
      <c r="AI4" s="1166"/>
      <c r="AJ4" s="1197"/>
      <c r="AK4" s="969"/>
      <c r="AL4" s="969"/>
      <c r="AM4" s="959"/>
      <c r="AN4" s="960"/>
      <c r="AO4" s="960"/>
      <c r="AP4" s="960"/>
      <c r="AQ4" s="960"/>
      <c r="AR4" s="1164"/>
      <c r="AS4" s="243"/>
    </row>
    <row r="5" spans="1:45" s="242" customFormat="1" ht="16.5" customHeight="1">
      <c r="A5" s="932"/>
      <c r="B5" s="936"/>
      <c r="C5" s="937"/>
      <c r="D5" s="936"/>
      <c r="E5" s="937"/>
      <c r="F5" s="946" t="s">
        <v>231</v>
      </c>
      <c r="G5" s="943"/>
      <c r="H5" s="944"/>
      <c r="I5" s="944"/>
      <c r="J5" s="945"/>
      <c r="K5" s="943"/>
      <c r="L5" s="944"/>
      <c r="M5" s="944"/>
      <c r="N5" s="944"/>
      <c r="O5" s="944"/>
      <c r="P5" s="944"/>
      <c r="Q5" s="944"/>
      <c r="R5" s="944"/>
      <c r="S5" s="945"/>
      <c r="T5" s="926" t="s">
        <v>244</v>
      </c>
      <c r="U5" s="927"/>
      <c r="V5" s="928"/>
      <c r="W5" s="953" t="s">
        <v>245</v>
      </c>
      <c r="X5" s="954"/>
      <c r="Y5" s="955"/>
      <c r="Z5" s="965"/>
      <c r="AA5" s="966"/>
      <c r="AB5" s="967"/>
      <c r="AC5" s="971" t="s">
        <v>251</v>
      </c>
      <c r="AD5" s="971" t="s">
        <v>250</v>
      </c>
      <c r="AE5" s="926" t="s">
        <v>253</v>
      </c>
      <c r="AF5" s="927"/>
      <c r="AG5" s="928"/>
      <c r="AH5" s="926" t="s">
        <v>256</v>
      </c>
      <c r="AI5" s="927"/>
      <c r="AJ5" s="928"/>
      <c r="AK5" s="969"/>
      <c r="AL5" s="969"/>
      <c r="AM5" s="1165"/>
      <c r="AN5" s="1166"/>
      <c r="AO5" s="1166"/>
      <c r="AP5" s="1166"/>
      <c r="AQ5" s="1166"/>
      <c r="AR5" s="1167"/>
      <c r="AS5" s="243"/>
    </row>
    <row r="6" spans="1:45" s="244" customFormat="1" ht="38.25" customHeight="1">
      <c r="A6" s="933"/>
      <c r="B6" s="938"/>
      <c r="C6" s="939"/>
      <c r="D6" s="938"/>
      <c r="E6" s="939"/>
      <c r="F6" s="1198"/>
      <c r="G6" s="767" t="s">
        <v>320</v>
      </c>
      <c r="H6" s="591" t="s">
        <v>234</v>
      </c>
      <c r="I6" s="591" t="s">
        <v>235</v>
      </c>
      <c r="J6" s="591" t="s">
        <v>236</v>
      </c>
      <c r="K6" s="591" t="s">
        <v>238</v>
      </c>
      <c r="L6" s="591" t="s">
        <v>239</v>
      </c>
      <c r="M6" s="591" t="s">
        <v>240</v>
      </c>
      <c r="N6" s="591" t="s">
        <v>241</v>
      </c>
      <c r="O6" s="591" t="s">
        <v>314</v>
      </c>
      <c r="P6" s="591" t="s">
        <v>315</v>
      </c>
      <c r="Q6" s="591" t="s">
        <v>242</v>
      </c>
      <c r="R6" s="591"/>
      <c r="S6" s="592" t="s">
        <v>243</v>
      </c>
      <c r="T6" s="591" t="s">
        <v>246</v>
      </c>
      <c r="U6" s="767" t="s">
        <v>313</v>
      </c>
      <c r="V6" s="592" t="s">
        <v>2</v>
      </c>
      <c r="W6" s="593" t="s">
        <v>246</v>
      </c>
      <c r="X6" s="592" t="s">
        <v>313</v>
      </c>
      <c r="Y6" s="592" t="s">
        <v>1</v>
      </c>
      <c r="Z6" s="767" t="s">
        <v>248</v>
      </c>
      <c r="AA6" s="767" t="s">
        <v>249</v>
      </c>
      <c r="AB6" s="767" t="s">
        <v>1</v>
      </c>
      <c r="AC6" s="972"/>
      <c r="AD6" s="972"/>
      <c r="AE6" s="767" t="s">
        <v>254</v>
      </c>
      <c r="AF6" s="767" t="s">
        <v>255</v>
      </c>
      <c r="AG6" s="767" t="s">
        <v>243</v>
      </c>
      <c r="AH6" s="767" t="s">
        <v>257</v>
      </c>
      <c r="AI6" s="767" t="s">
        <v>255</v>
      </c>
      <c r="AJ6" s="767" t="s">
        <v>243</v>
      </c>
      <c r="AK6" s="970"/>
      <c r="AL6" s="970"/>
      <c r="AM6" s="594" t="s">
        <v>261</v>
      </c>
      <c r="AN6" s="595" t="s">
        <v>152</v>
      </c>
      <c r="AO6" s="595" t="s">
        <v>554</v>
      </c>
      <c r="AP6" s="595" t="s">
        <v>205</v>
      </c>
      <c r="AQ6" s="767" t="s">
        <v>206</v>
      </c>
      <c r="AR6" s="768" t="s">
        <v>262</v>
      </c>
      <c r="AS6" s="245"/>
    </row>
    <row r="7" spans="1:45" s="249" customFormat="1" ht="12.75">
      <c r="A7" s="769" t="s">
        <v>5</v>
      </c>
      <c r="B7" s="597" t="s">
        <v>7</v>
      </c>
      <c r="C7" s="598" t="s">
        <v>8</v>
      </c>
      <c r="D7" s="599" t="s">
        <v>9</v>
      </c>
      <c r="E7" s="600" t="s">
        <v>10</v>
      </c>
      <c r="F7" s="601"/>
      <c r="G7" s="602">
        <v>1</v>
      </c>
      <c r="H7" s="602">
        <v>2</v>
      </c>
      <c r="I7" s="602">
        <v>3</v>
      </c>
      <c r="J7" s="602">
        <v>4</v>
      </c>
      <c r="K7" s="602">
        <v>5</v>
      </c>
      <c r="L7" s="602">
        <v>6</v>
      </c>
      <c r="M7" s="602">
        <v>7</v>
      </c>
      <c r="N7" s="602">
        <v>8</v>
      </c>
      <c r="O7" s="602">
        <v>9</v>
      </c>
      <c r="P7" s="602">
        <v>10</v>
      </c>
      <c r="Q7" s="602">
        <v>11</v>
      </c>
      <c r="R7" s="602">
        <v>12</v>
      </c>
      <c r="S7" s="602">
        <v>13</v>
      </c>
      <c r="T7" s="602">
        <v>14</v>
      </c>
      <c r="U7" s="602">
        <v>15</v>
      </c>
      <c r="V7" s="602">
        <v>16</v>
      </c>
      <c r="W7" s="602">
        <v>17</v>
      </c>
      <c r="X7" s="602">
        <v>18</v>
      </c>
      <c r="Y7" s="602">
        <v>19</v>
      </c>
      <c r="Z7" s="602">
        <v>20</v>
      </c>
      <c r="AA7" s="602">
        <v>21</v>
      </c>
      <c r="AB7" s="602">
        <v>22</v>
      </c>
      <c r="AC7" s="602">
        <v>23</v>
      </c>
      <c r="AD7" s="602">
        <v>24</v>
      </c>
      <c r="AE7" s="602">
        <v>25</v>
      </c>
      <c r="AF7" s="602">
        <v>26</v>
      </c>
      <c r="AG7" s="602">
        <v>27</v>
      </c>
      <c r="AH7" s="602">
        <v>28</v>
      </c>
      <c r="AI7" s="602">
        <v>29</v>
      </c>
      <c r="AJ7" s="602">
        <v>30</v>
      </c>
      <c r="AK7" s="602">
        <v>31</v>
      </c>
      <c r="AL7" s="602">
        <v>32</v>
      </c>
      <c r="AM7" s="602">
        <v>33</v>
      </c>
      <c r="AN7" s="602">
        <v>34</v>
      </c>
      <c r="AO7" s="602">
        <v>35</v>
      </c>
      <c r="AP7" s="602">
        <v>36</v>
      </c>
      <c r="AQ7" s="602">
        <v>37</v>
      </c>
      <c r="AR7" s="602">
        <v>38</v>
      </c>
      <c r="AS7" s="250"/>
    </row>
    <row r="8" spans="1:45" s="263" customFormat="1" ht="28.5" customHeight="1">
      <c r="A8" s="1199" t="s">
        <v>444</v>
      </c>
      <c r="B8" s="1199"/>
      <c r="C8" s="1199"/>
      <c r="D8" s="1199"/>
      <c r="E8" s="1199"/>
      <c r="F8" s="1199"/>
      <c r="G8" s="1199"/>
      <c r="H8" s="1199"/>
      <c r="I8" s="1199"/>
      <c r="J8" s="1199"/>
      <c r="K8" s="1199"/>
      <c r="L8" s="1199"/>
      <c r="M8" s="1199"/>
      <c r="N8" s="1199"/>
      <c r="O8" s="1199"/>
      <c r="P8" s="1199"/>
      <c r="Q8" s="1199"/>
      <c r="R8" s="1199"/>
      <c r="S8" s="1199"/>
      <c r="T8" s="1199"/>
      <c r="U8" s="1199"/>
      <c r="V8" s="1199"/>
      <c r="W8" s="1199"/>
      <c r="X8" s="1199"/>
      <c r="Y8" s="1199"/>
      <c r="Z8" s="1199"/>
      <c r="AA8" s="1199"/>
      <c r="AB8" s="1199"/>
      <c r="AC8" s="1199"/>
      <c r="AD8" s="1199"/>
      <c r="AE8" s="1199"/>
      <c r="AF8" s="1199"/>
      <c r="AG8" s="1199"/>
      <c r="AH8" s="1199"/>
      <c r="AI8" s="1199"/>
      <c r="AJ8" s="1199"/>
      <c r="AK8" s="1199"/>
      <c r="AL8" s="1199"/>
      <c r="AM8" s="1199"/>
      <c r="AN8" s="1199"/>
      <c r="AO8" s="1199"/>
      <c r="AP8" s="1199"/>
      <c r="AQ8" s="1199"/>
      <c r="AR8" s="1200"/>
      <c r="AS8" s="265"/>
    </row>
    <row r="9" spans="1:45" s="263" customFormat="1" ht="28.5" customHeight="1">
      <c r="A9" s="1201">
        <v>2</v>
      </c>
      <c r="B9" s="925">
        <v>2.3</v>
      </c>
      <c r="C9" s="1195" t="s">
        <v>567</v>
      </c>
      <c r="D9" s="556" t="s">
        <v>51</v>
      </c>
      <c r="E9" s="556" t="s">
        <v>568</v>
      </c>
      <c r="F9" s="554" t="s">
        <v>575</v>
      </c>
      <c r="G9" s="264"/>
      <c r="H9" s="264"/>
      <c r="I9" s="264"/>
      <c r="J9" s="257">
        <f aca="true" t="shared" si="0" ref="J9:J14">G9*H9*I9</f>
        <v>0</v>
      </c>
      <c r="K9" s="264"/>
      <c r="L9" s="264"/>
      <c r="M9" s="264"/>
      <c r="N9" s="264"/>
      <c r="O9" s="264"/>
      <c r="P9" s="264"/>
      <c r="Q9" s="264"/>
      <c r="R9" s="264"/>
      <c r="S9" s="258">
        <f aca="true" t="shared" si="1" ref="S9:S14">(K9*L9*N9)+(K9*L9*M9*O9)+(K9*L9*M9*P9)+(K9*M9*Q9)+(K9*L9*R9)</f>
        <v>0</v>
      </c>
      <c r="T9" s="264"/>
      <c r="U9" s="264"/>
      <c r="V9" s="259">
        <f aca="true" t="shared" si="2" ref="V9:V14">T9*U9</f>
        <v>0</v>
      </c>
      <c r="W9" s="264"/>
      <c r="X9" s="264"/>
      <c r="Y9" s="259"/>
      <c r="Z9" s="264"/>
      <c r="AA9" s="264"/>
      <c r="AB9" s="421"/>
      <c r="AC9" s="421"/>
      <c r="AD9" s="248"/>
      <c r="AE9" s="264"/>
      <c r="AF9" s="264"/>
      <c r="AG9" s="421"/>
      <c r="AH9" s="264"/>
      <c r="AI9" s="264"/>
      <c r="AJ9" s="248"/>
      <c r="AK9" s="264"/>
      <c r="AL9" s="259">
        <f aca="true" t="shared" si="3" ref="AL9:AL14">J9+S9+V9+Y9+AB9+AG9+AJ9+AK9+AC9+AD9</f>
        <v>0</v>
      </c>
      <c r="AM9" s="555"/>
      <c r="AN9" s="264"/>
      <c r="AO9" s="264"/>
      <c r="AP9" s="264"/>
      <c r="AQ9" s="366"/>
      <c r="AR9" s="262">
        <f>AL9-AM9-AN9-AO9-AP9-AQ9</f>
        <v>0</v>
      </c>
      <c r="AS9" s="265"/>
    </row>
    <row r="10" spans="1:45" s="263" customFormat="1" ht="59.25" customHeight="1">
      <c r="A10" s="1202"/>
      <c r="B10" s="925"/>
      <c r="C10" s="1196"/>
      <c r="D10" s="556" t="s">
        <v>52</v>
      </c>
      <c r="E10" s="556" t="s">
        <v>569</v>
      </c>
      <c r="F10" s="554" t="s">
        <v>570</v>
      </c>
      <c r="G10" s="264"/>
      <c r="H10" s="264"/>
      <c r="I10" s="264"/>
      <c r="J10" s="257">
        <f t="shared" si="0"/>
        <v>0</v>
      </c>
      <c r="K10" s="264">
        <v>2</v>
      </c>
      <c r="L10" s="264">
        <v>2</v>
      </c>
      <c r="M10" s="264">
        <v>25</v>
      </c>
      <c r="N10" s="264">
        <v>300</v>
      </c>
      <c r="O10" s="264">
        <v>20</v>
      </c>
      <c r="P10" s="264"/>
      <c r="Q10" s="264">
        <v>25</v>
      </c>
      <c r="R10" s="264"/>
      <c r="S10" s="258">
        <f t="shared" si="1"/>
        <v>4450</v>
      </c>
      <c r="T10" s="264">
        <v>10</v>
      </c>
      <c r="U10" s="264">
        <v>350</v>
      </c>
      <c r="V10" s="259">
        <f t="shared" si="2"/>
        <v>3500</v>
      </c>
      <c r="W10" s="264">
        <v>45</v>
      </c>
      <c r="X10" s="264">
        <v>1250</v>
      </c>
      <c r="Y10" s="259">
        <f>W10*X10</f>
        <v>56250</v>
      </c>
      <c r="Z10" s="264"/>
      <c r="AA10" s="264"/>
      <c r="AB10" s="421"/>
      <c r="AC10" s="421"/>
      <c r="AD10" s="248"/>
      <c r="AE10" s="264"/>
      <c r="AF10" s="264"/>
      <c r="AG10" s="421"/>
      <c r="AH10" s="264"/>
      <c r="AI10" s="264"/>
      <c r="AJ10" s="248"/>
      <c r="AK10" s="264">
        <f>(8*500)+(8*5*80)+(3*5*50)</f>
        <v>7950</v>
      </c>
      <c r="AL10" s="259">
        <f t="shared" si="3"/>
        <v>72150</v>
      </c>
      <c r="AM10" s="555"/>
      <c r="AN10" s="264"/>
      <c r="AO10" s="264"/>
      <c r="AP10" s="264"/>
      <c r="AQ10" s="366"/>
      <c r="AR10" s="262">
        <f>AL10-AM10-AN10-AO10-AP10-AQ10</f>
        <v>72150</v>
      </c>
      <c r="AS10" s="265"/>
    </row>
    <row r="11" spans="1:45" s="263" customFormat="1" ht="12.75">
      <c r="A11" s="580"/>
      <c r="B11" s="425"/>
      <c r="C11" s="582"/>
      <c r="D11" s="583"/>
      <c r="E11" s="583"/>
      <c r="F11" s="584"/>
      <c r="G11" s="581"/>
      <c r="H11" s="581"/>
      <c r="I11" s="581"/>
      <c r="J11" s="430">
        <f>SUM(J8:J10)</f>
        <v>0</v>
      </c>
      <c r="K11" s="430"/>
      <c r="L11" s="430"/>
      <c r="M11" s="430"/>
      <c r="N11" s="430"/>
      <c r="O11" s="430"/>
      <c r="P11" s="430"/>
      <c r="Q11" s="430"/>
      <c r="R11" s="430"/>
      <c r="S11" s="430">
        <f aca="true" t="shared" si="4" ref="S11:AR11">SUM(S8:S10)</f>
        <v>4450</v>
      </c>
      <c r="T11" s="430"/>
      <c r="U11" s="430"/>
      <c r="V11" s="430">
        <f t="shared" si="4"/>
        <v>3500</v>
      </c>
      <c r="W11" s="430"/>
      <c r="X11" s="430"/>
      <c r="Y11" s="430">
        <f t="shared" si="4"/>
        <v>56250</v>
      </c>
      <c r="Z11" s="430">
        <f t="shared" si="4"/>
        <v>0</v>
      </c>
      <c r="AA11" s="430">
        <f t="shared" si="4"/>
        <v>0</v>
      </c>
      <c r="AB11" s="257">
        <f t="shared" si="4"/>
        <v>0</v>
      </c>
      <c r="AC11" s="430">
        <f t="shared" si="4"/>
        <v>0</v>
      </c>
      <c r="AD11" s="430">
        <f t="shared" si="4"/>
        <v>0</v>
      </c>
      <c r="AE11" s="430">
        <f t="shared" si="4"/>
        <v>0</v>
      </c>
      <c r="AF11" s="430">
        <f t="shared" si="4"/>
        <v>0</v>
      </c>
      <c r="AG11" s="257">
        <f t="shared" si="4"/>
        <v>0</v>
      </c>
      <c r="AH11" s="430">
        <f t="shared" si="4"/>
        <v>0</v>
      </c>
      <c r="AI11" s="430">
        <f t="shared" si="4"/>
        <v>0</v>
      </c>
      <c r="AJ11" s="257">
        <f t="shared" si="4"/>
        <v>0</v>
      </c>
      <c r="AK11" s="430">
        <f t="shared" si="4"/>
        <v>7950</v>
      </c>
      <c r="AL11" s="430">
        <f t="shared" si="4"/>
        <v>72150</v>
      </c>
      <c r="AM11" s="430">
        <f t="shared" si="4"/>
        <v>0</v>
      </c>
      <c r="AN11" s="430">
        <f t="shared" si="4"/>
        <v>0</v>
      </c>
      <c r="AO11" s="430">
        <f t="shared" si="4"/>
        <v>0</v>
      </c>
      <c r="AP11" s="430">
        <f t="shared" si="4"/>
        <v>0</v>
      </c>
      <c r="AQ11" s="430">
        <f t="shared" si="4"/>
        <v>0</v>
      </c>
      <c r="AR11" s="430">
        <f t="shared" si="4"/>
        <v>72150</v>
      </c>
      <c r="AS11" s="265"/>
    </row>
    <row r="12" spans="1:45" s="263" customFormat="1" ht="31.5" customHeight="1">
      <c r="A12" s="912" t="s">
        <v>571</v>
      </c>
      <c r="B12" s="912"/>
      <c r="C12" s="912"/>
      <c r="D12" s="912"/>
      <c r="E12" s="912"/>
      <c r="F12" s="912"/>
      <c r="G12" s="912"/>
      <c r="H12" s="912"/>
      <c r="I12" s="912"/>
      <c r="J12" s="912"/>
      <c r="K12" s="912"/>
      <c r="L12" s="912"/>
      <c r="M12" s="912"/>
      <c r="N12" s="912"/>
      <c r="O12" s="912"/>
      <c r="P12" s="912"/>
      <c r="Q12" s="912"/>
      <c r="R12" s="912"/>
      <c r="S12" s="912"/>
      <c r="T12" s="912"/>
      <c r="U12" s="912"/>
      <c r="V12" s="912"/>
      <c r="W12" s="912"/>
      <c r="X12" s="912"/>
      <c r="Y12" s="912"/>
      <c r="Z12" s="912"/>
      <c r="AA12" s="912"/>
      <c r="AB12" s="912"/>
      <c r="AC12" s="912"/>
      <c r="AD12" s="912"/>
      <c r="AE12" s="912"/>
      <c r="AF12" s="912"/>
      <c r="AG12" s="912"/>
      <c r="AH12" s="912"/>
      <c r="AI12" s="912"/>
      <c r="AJ12" s="912"/>
      <c r="AK12" s="912"/>
      <c r="AL12" s="912"/>
      <c r="AM12" s="912"/>
      <c r="AN12" s="912"/>
      <c r="AO12" s="912"/>
      <c r="AP12" s="912"/>
      <c r="AQ12" s="912"/>
      <c r="AR12" s="913"/>
      <c r="AS12" s="265"/>
    </row>
    <row r="13" spans="1:45" s="263" customFormat="1" ht="57.75" customHeight="1">
      <c r="A13" s="1201"/>
      <c r="B13" s="1203" t="s">
        <v>144</v>
      </c>
      <c r="C13" s="929" t="s">
        <v>572</v>
      </c>
      <c r="D13" s="557" t="s">
        <v>225</v>
      </c>
      <c r="E13" s="557" t="s">
        <v>573</v>
      </c>
      <c r="F13" s="790" t="s">
        <v>574</v>
      </c>
      <c r="G13" s="264"/>
      <c r="H13" s="264"/>
      <c r="I13" s="264"/>
      <c r="J13" s="257">
        <f t="shared" si="0"/>
        <v>0</v>
      </c>
      <c r="K13" s="264"/>
      <c r="L13" s="264"/>
      <c r="M13" s="264"/>
      <c r="N13" s="264"/>
      <c r="O13" s="264"/>
      <c r="P13" s="264"/>
      <c r="Q13" s="264"/>
      <c r="R13" s="264"/>
      <c r="S13" s="258">
        <f t="shared" si="1"/>
        <v>0</v>
      </c>
      <c r="T13" s="264"/>
      <c r="U13" s="264"/>
      <c r="V13" s="259"/>
      <c r="W13" s="264"/>
      <c r="X13" s="264"/>
      <c r="Y13" s="259"/>
      <c r="Z13" s="264"/>
      <c r="AA13" s="264"/>
      <c r="AB13" s="421"/>
      <c r="AC13" s="421"/>
      <c r="AD13" s="248"/>
      <c r="AE13" s="264"/>
      <c r="AF13" s="264"/>
      <c r="AG13" s="421"/>
      <c r="AH13" s="264"/>
      <c r="AI13" s="264"/>
      <c r="AJ13" s="248"/>
      <c r="AK13" s="264"/>
      <c r="AL13" s="259">
        <f t="shared" si="3"/>
        <v>0</v>
      </c>
      <c r="AM13" s="555"/>
      <c r="AN13" s="264"/>
      <c r="AO13" s="264"/>
      <c r="AP13" s="264"/>
      <c r="AQ13" s="366"/>
      <c r="AR13" s="262">
        <f>AL13-AM13-AN13-AO13-AP13-AQ13</f>
        <v>0</v>
      </c>
      <c r="AS13" s="265"/>
    </row>
    <row r="14" spans="1:45" s="263" customFormat="1" ht="45.75" customHeight="1">
      <c r="A14" s="1208"/>
      <c r="B14" s="1204"/>
      <c r="C14" s="930"/>
      <c r="D14" s="799" t="s">
        <v>226</v>
      </c>
      <c r="E14" s="800" t="s">
        <v>576</v>
      </c>
      <c r="F14" s="554" t="s">
        <v>575</v>
      </c>
      <c r="G14" s="801"/>
      <c r="H14" s="801"/>
      <c r="I14" s="801"/>
      <c r="J14" s="802">
        <f t="shared" si="0"/>
        <v>0</v>
      </c>
      <c r="K14" s="801"/>
      <c r="L14" s="801"/>
      <c r="M14" s="801"/>
      <c r="N14" s="801"/>
      <c r="O14" s="801"/>
      <c r="P14" s="801"/>
      <c r="Q14" s="801"/>
      <c r="R14" s="801"/>
      <c r="S14" s="803">
        <f t="shared" si="1"/>
        <v>0</v>
      </c>
      <c r="T14" s="801"/>
      <c r="U14" s="801"/>
      <c r="V14" s="804">
        <f t="shared" si="2"/>
        <v>0</v>
      </c>
      <c r="W14" s="801"/>
      <c r="X14" s="801"/>
      <c r="Y14" s="804"/>
      <c r="Z14" s="801"/>
      <c r="AA14" s="801"/>
      <c r="AB14" s="421"/>
      <c r="AC14" s="421"/>
      <c r="AD14" s="421"/>
      <c r="AE14" s="801"/>
      <c r="AF14" s="801"/>
      <c r="AG14" s="421"/>
      <c r="AH14" s="801"/>
      <c r="AI14" s="801"/>
      <c r="AJ14" s="248"/>
      <c r="AK14" s="264"/>
      <c r="AL14" s="259">
        <f t="shared" si="3"/>
        <v>0</v>
      </c>
      <c r="AM14" s="555"/>
      <c r="AN14" s="264"/>
      <c r="AO14" s="264"/>
      <c r="AP14" s="264"/>
      <c r="AQ14" s="366"/>
      <c r="AR14" s="262">
        <f>AL14-AM14-AN14-AO14-AP14-AQ14</f>
        <v>0</v>
      </c>
      <c r="AS14" s="265"/>
    </row>
    <row r="15" spans="1:45" s="263" customFormat="1" ht="26.25" customHeight="1">
      <c r="A15" s="428"/>
      <c r="B15" s="428"/>
      <c r="C15" s="428"/>
      <c r="D15" s="805"/>
      <c r="E15" s="805"/>
      <c r="F15" s="428"/>
      <c r="G15" s="429"/>
      <c r="H15" s="429"/>
      <c r="I15" s="429"/>
      <c r="J15" s="430">
        <f>SUM(J12:J14)</f>
        <v>0</v>
      </c>
      <c r="K15" s="430"/>
      <c r="L15" s="430"/>
      <c r="M15" s="430"/>
      <c r="N15" s="430"/>
      <c r="O15" s="430"/>
      <c r="P15" s="430"/>
      <c r="Q15" s="430"/>
      <c r="R15" s="430"/>
      <c r="S15" s="430">
        <f aca="true" t="shared" si="5" ref="S15:AR15">SUM(S12:S14)</f>
        <v>0</v>
      </c>
      <c r="T15" s="430">
        <f t="shared" si="5"/>
        <v>0</v>
      </c>
      <c r="U15" s="430">
        <f t="shared" si="5"/>
        <v>0</v>
      </c>
      <c r="V15" s="430">
        <f t="shared" si="5"/>
        <v>0</v>
      </c>
      <c r="W15" s="430">
        <f t="shared" si="5"/>
        <v>0</v>
      </c>
      <c r="X15" s="430">
        <f t="shared" si="5"/>
        <v>0</v>
      </c>
      <c r="Y15" s="430">
        <f t="shared" si="5"/>
        <v>0</v>
      </c>
      <c r="Z15" s="430">
        <f t="shared" si="5"/>
        <v>0</v>
      </c>
      <c r="AA15" s="430">
        <f t="shared" si="5"/>
        <v>0</v>
      </c>
      <c r="AB15" s="430">
        <f t="shared" si="5"/>
        <v>0</v>
      </c>
      <c r="AC15" s="430">
        <f t="shared" si="5"/>
        <v>0</v>
      </c>
      <c r="AD15" s="430">
        <f t="shared" si="5"/>
        <v>0</v>
      </c>
      <c r="AE15" s="430">
        <f t="shared" si="5"/>
        <v>0</v>
      </c>
      <c r="AF15" s="430">
        <f t="shared" si="5"/>
        <v>0</v>
      </c>
      <c r="AG15" s="430">
        <f t="shared" si="5"/>
        <v>0</v>
      </c>
      <c r="AH15" s="430">
        <f t="shared" si="5"/>
        <v>0</v>
      </c>
      <c r="AI15" s="430">
        <f t="shared" si="5"/>
        <v>0</v>
      </c>
      <c r="AJ15" s="430">
        <f t="shared" si="5"/>
        <v>0</v>
      </c>
      <c r="AK15" s="430">
        <f t="shared" si="5"/>
        <v>0</v>
      </c>
      <c r="AL15" s="430">
        <f t="shared" si="5"/>
        <v>0</v>
      </c>
      <c r="AM15" s="430">
        <f t="shared" si="5"/>
        <v>0</v>
      </c>
      <c r="AN15" s="430">
        <f t="shared" si="5"/>
        <v>0</v>
      </c>
      <c r="AO15" s="430">
        <f t="shared" si="5"/>
        <v>0</v>
      </c>
      <c r="AP15" s="430">
        <f t="shared" si="5"/>
        <v>0</v>
      </c>
      <c r="AQ15" s="430">
        <f t="shared" si="5"/>
        <v>0</v>
      </c>
      <c r="AR15" s="430">
        <f t="shared" si="5"/>
        <v>0</v>
      </c>
      <c r="AS15" s="265"/>
    </row>
    <row r="16" spans="1:44" ht="30.75" customHeight="1">
      <c r="A16" s="304"/>
      <c r="B16" s="1205" t="s">
        <v>577</v>
      </c>
      <c r="C16" s="1206"/>
      <c r="D16" s="1206"/>
      <c r="E16" s="1207"/>
      <c r="F16" s="305"/>
      <c r="G16" s="306"/>
      <c r="H16" s="306"/>
      <c r="I16" s="306"/>
      <c r="J16" s="306"/>
      <c r="K16" s="306"/>
      <c r="L16" s="306"/>
      <c r="M16" s="306"/>
      <c r="N16" s="306"/>
      <c r="O16" s="306"/>
      <c r="P16" s="306"/>
      <c r="Q16" s="306"/>
      <c r="R16" s="306"/>
      <c r="S16" s="306"/>
      <c r="T16" s="306"/>
      <c r="U16" s="306"/>
      <c r="V16" s="306"/>
      <c r="W16" s="306"/>
      <c r="X16" s="306"/>
      <c r="Y16" s="306"/>
      <c r="Z16" s="306"/>
      <c r="AA16" s="306"/>
      <c r="AB16" s="306"/>
      <c r="AC16" s="306"/>
      <c r="AD16" s="306"/>
      <c r="AE16" s="306"/>
      <c r="AF16" s="306"/>
      <c r="AG16" s="306"/>
      <c r="AH16" s="306"/>
      <c r="AI16" s="306"/>
      <c r="AJ16" s="306"/>
      <c r="AK16" s="306"/>
      <c r="AL16" s="306"/>
      <c r="AM16" s="306"/>
      <c r="AN16" s="306"/>
      <c r="AO16" s="306"/>
      <c r="AP16" s="306"/>
      <c r="AQ16" s="306"/>
      <c r="AR16" s="306"/>
    </row>
    <row r="17" spans="1:45" s="316" customFormat="1" ht="61.5" customHeight="1">
      <c r="A17" s="903">
        <v>10</v>
      </c>
      <c r="B17" s="268">
        <v>10.1</v>
      </c>
      <c r="C17" s="572" t="s">
        <v>578</v>
      </c>
      <c r="D17" s="269" t="s">
        <v>171</v>
      </c>
      <c r="E17" s="269" t="s">
        <v>579</v>
      </c>
      <c r="F17" s="573" t="s">
        <v>104</v>
      </c>
      <c r="G17" s="574"/>
      <c r="H17" s="575"/>
      <c r="I17" s="575"/>
      <c r="J17" s="558">
        <f>G17*H17*I17</f>
        <v>0</v>
      </c>
      <c r="K17" s="576"/>
      <c r="L17" s="576"/>
      <c r="M17" s="576"/>
      <c r="N17" s="576"/>
      <c r="O17" s="576"/>
      <c r="P17" s="576"/>
      <c r="Q17" s="576"/>
      <c r="R17" s="576"/>
      <c r="S17" s="258">
        <f>(K17*L17*N17)+(K17*L17*M17*O17)+(K17*L17*M17*P17)+(K17*M17*Q17)+(K17*L17*R17)</f>
        <v>0</v>
      </c>
      <c r="T17" s="274"/>
      <c r="U17" s="274"/>
      <c r="V17" s="259">
        <f>T17*U17</f>
        <v>0</v>
      </c>
      <c r="W17" s="274"/>
      <c r="X17" s="274"/>
      <c r="Y17" s="259">
        <f>700000-AD17</f>
        <v>226000</v>
      </c>
      <c r="Z17" s="577"/>
      <c r="AA17" s="577"/>
      <c r="AB17" s="259">
        <f>Z17*AA17</f>
        <v>0</v>
      </c>
      <c r="AC17" s="259"/>
      <c r="AD17" s="578">
        <f>700000-226000</f>
        <v>474000</v>
      </c>
      <c r="AE17" s="669"/>
      <c r="AF17" s="669"/>
      <c r="AG17" s="259">
        <f>AE17*AF17</f>
        <v>0</v>
      </c>
      <c r="AH17" s="669"/>
      <c r="AI17" s="669"/>
      <c r="AJ17" s="259">
        <f>AH17*AI17</f>
        <v>0</v>
      </c>
      <c r="AK17" s="259"/>
      <c r="AL17" s="259">
        <f>J17+S17+V17+Y17+AB17+AG17+AJ17+AK17+AC17+AD17</f>
        <v>700000</v>
      </c>
      <c r="AM17" s="415"/>
      <c r="AN17" s="276">
        <f>AL17</f>
        <v>700000</v>
      </c>
      <c r="AO17" s="276"/>
      <c r="AP17" s="276"/>
      <c r="AQ17" s="276"/>
      <c r="AR17" s="262">
        <f>AL17-AM17-AN17-AO17-AP17-AQ17</f>
        <v>0</v>
      </c>
      <c r="AS17" s="579"/>
    </row>
    <row r="18" spans="1:45" s="278" customFormat="1" ht="35.25" customHeight="1">
      <c r="A18" s="904"/>
      <c r="B18" s="903">
        <v>10.2</v>
      </c>
      <c r="C18" s="924" t="s">
        <v>580</v>
      </c>
      <c r="D18" s="269" t="s">
        <v>173</v>
      </c>
      <c r="E18" s="253" t="s">
        <v>581</v>
      </c>
      <c r="F18" s="277"/>
      <c r="G18" s="270"/>
      <c r="H18" s="271"/>
      <c r="I18" s="271"/>
      <c r="J18" s="257">
        <f>G18*H18*I18</f>
        <v>0</v>
      </c>
      <c r="K18" s="272"/>
      <c r="L18" s="272"/>
      <c r="M18" s="272"/>
      <c r="N18" s="272"/>
      <c r="O18" s="272"/>
      <c r="P18" s="272"/>
      <c r="Q18" s="272"/>
      <c r="R18" s="272"/>
      <c r="S18" s="258">
        <f>(K18*L18*N18)+(K18*L18*M18*O18)+(K18*L18*M18*P18)+(K18*M18*Q18)+(K18*L18*R18)</f>
        <v>0</v>
      </c>
      <c r="T18" s="273"/>
      <c r="U18" s="273"/>
      <c r="V18" s="259">
        <f>T18*U18</f>
        <v>0</v>
      </c>
      <c r="W18" s="274"/>
      <c r="X18" s="274"/>
      <c r="Y18" s="259">
        <f>W18*X18</f>
        <v>0</v>
      </c>
      <c r="Z18" s="275"/>
      <c r="AA18" s="275"/>
      <c r="AB18" s="260">
        <f>Z18*AA18</f>
        <v>0</v>
      </c>
      <c r="AC18" s="260"/>
      <c r="AD18" s="260"/>
      <c r="AE18" s="419"/>
      <c r="AF18" s="419"/>
      <c r="AG18" s="260">
        <f>AE18*AF18</f>
        <v>0</v>
      </c>
      <c r="AH18" s="419"/>
      <c r="AI18" s="419"/>
      <c r="AJ18" s="260">
        <f>AH18*AI18</f>
        <v>0</v>
      </c>
      <c r="AK18" s="259">
        <v>2000000</v>
      </c>
      <c r="AL18" s="259">
        <f>J18+S18+V18+Y18+AB18+AG18+AJ18+AK18+AC18+AD18</f>
        <v>2000000</v>
      </c>
      <c r="AM18" s="415"/>
      <c r="AN18" s="276"/>
      <c r="AO18" s="276"/>
      <c r="AP18" s="276"/>
      <c r="AQ18" s="276"/>
      <c r="AR18" s="262">
        <f>AL18-AM18-AN18-AO18-AP18-AQ18</f>
        <v>2000000</v>
      </c>
      <c r="AS18" s="279"/>
    </row>
    <row r="19" spans="1:45" s="285" customFormat="1" ht="69.75" customHeight="1">
      <c r="A19" s="904"/>
      <c r="B19" s="905"/>
      <c r="C19" s="924"/>
      <c r="D19" s="269" t="s">
        <v>174</v>
      </c>
      <c r="E19" s="253" t="s">
        <v>582</v>
      </c>
      <c r="F19" s="253" t="s">
        <v>583</v>
      </c>
      <c r="G19" s="270"/>
      <c r="H19" s="280"/>
      <c r="I19" s="280"/>
      <c r="J19" s="257">
        <f>G19*H19*I19</f>
        <v>0</v>
      </c>
      <c r="K19" s="272"/>
      <c r="L19" s="272"/>
      <c r="M19" s="281"/>
      <c r="N19" s="281"/>
      <c r="O19" s="281"/>
      <c r="P19" s="281"/>
      <c r="Q19" s="281"/>
      <c r="R19" s="281"/>
      <c r="S19" s="258">
        <f>(K19*L19*N19)+(K19*L19*M19*O19)+(K19*L19*M19*P19)+(K19*M19*Q19)+(K19*L19*R19)</f>
        <v>0</v>
      </c>
      <c r="T19" s="281"/>
      <c r="U19" s="281"/>
      <c r="V19" s="259">
        <f>T19*U19</f>
        <v>0</v>
      </c>
      <c r="W19" s="282"/>
      <c r="X19" s="282"/>
      <c r="Y19" s="259">
        <f>W19*X19</f>
        <v>0</v>
      </c>
      <c r="Z19" s="283"/>
      <c r="AA19" s="283"/>
      <c r="AB19" s="260">
        <f>Z19*AA19</f>
        <v>0</v>
      </c>
      <c r="AC19" s="668"/>
      <c r="AD19" s="668"/>
      <c r="AE19" s="670"/>
      <c r="AF19" s="670"/>
      <c r="AG19" s="260">
        <f>AE19*AF19</f>
        <v>0</v>
      </c>
      <c r="AH19" s="670"/>
      <c r="AI19" s="670"/>
      <c r="AJ19" s="260">
        <f>AH19*AI19</f>
        <v>0</v>
      </c>
      <c r="AK19" s="284"/>
      <c r="AL19" s="259">
        <f>J19+S19+V19+Y19+AB19+AG19+AJ19+AK19+AC19+AD19</f>
        <v>0</v>
      </c>
      <c r="AM19" s="415"/>
      <c r="AN19" s="276"/>
      <c r="AO19" s="276"/>
      <c r="AP19" s="276"/>
      <c r="AQ19" s="276"/>
      <c r="AR19" s="262">
        <f>AL19-AM19-AN19-AO19-AP19-AQ19</f>
        <v>0</v>
      </c>
      <c r="AS19" s="286"/>
    </row>
    <row r="20" spans="1:45" s="285" customFormat="1" ht="36.75" customHeight="1">
      <c r="A20" s="491"/>
      <c r="B20" s="492"/>
      <c r="C20" s="480"/>
      <c r="D20" s="493"/>
      <c r="E20" s="480"/>
      <c r="F20" s="480"/>
      <c r="G20" s="486"/>
      <c r="H20" s="494"/>
      <c r="I20" s="494"/>
      <c r="J20" s="484">
        <f>SUM(J17:J19)</f>
        <v>0</v>
      </c>
      <c r="K20" s="484"/>
      <c r="L20" s="484"/>
      <c r="M20" s="484"/>
      <c r="N20" s="484"/>
      <c r="O20" s="484"/>
      <c r="P20" s="484"/>
      <c r="Q20" s="484"/>
      <c r="R20" s="484"/>
      <c r="S20" s="484">
        <f>SUM(S17:S19)</f>
        <v>0</v>
      </c>
      <c r="T20" s="484"/>
      <c r="U20" s="484"/>
      <c r="V20" s="484">
        <f>SUM(V17:V19)</f>
        <v>0</v>
      </c>
      <c r="W20" s="484"/>
      <c r="X20" s="484"/>
      <c r="Y20" s="484">
        <f>SUM(Y17:Y19)</f>
        <v>226000</v>
      </c>
      <c r="Z20" s="484"/>
      <c r="AA20" s="484"/>
      <c r="AB20" s="484">
        <f>SUM(AB17:AB19)</f>
        <v>0</v>
      </c>
      <c r="AC20" s="484">
        <f>SUM(AC17:AC19)</f>
        <v>0</v>
      </c>
      <c r="AD20" s="484">
        <f>SUM(AD17:AD19)</f>
        <v>474000</v>
      </c>
      <c r="AE20" s="484"/>
      <c r="AF20" s="484"/>
      <c r="AG20" s="484">
        <f>SUM(AG17:AG19)</f>
        <v>0</v>
      </c>
      <c r="AH20" s="484"/>
      <c r="AI20" s="484"/>
      <c r="AJ20" s="484">
        <f aca="true" t="shared" si="6" ref="AJ20:AR20">SUM(AJ17:AJ19)</f>
        <v>0</v>
      </c>
      <c r="AK20" s="484">
        <f t="shared" si="6"/>
        <v>2000000</v>
      </c>
      <c r="AL20" s="484">
        <f t="shared" si="6"/>
        <v>2700000</v>
      </c>
      <c r="AM20" s="484">
        <f t="shared" si="6"/>
        <v>0</v>
      </c>
      <c r="AN20" s="484">
        <f t="shared" si="6"/>
        <v>700000</v>
      </c>
      <c r="AO20" s="484">
        <f t="shared" si="6"/>
        <v>0</v>
      </c>
      <c r="AP20" s="484">
        <f t="shared" si="6"/>
        <v>0</v>
      </c>
      <c r="AQ20" s="484">
        <f t="shared" si="6"/>
        <v>0</v>
      </c>
      <c r="AR20" s="484">
        <f t="shared" si="6"/>
        <v>2000000</v>
      </c>
      <c r="AS20" s="286"/>
    </row>
    <row r="21" spans="1:45" s="249" customFormat="1" ht="25.5" customHeight="1">
      <c r="A21" s="336"/>
      <c r="B21" s="1192" t="s">
        <v>584</v>
      </c>
      <c r="C21" s="1193"/>
      <c r="D21" s="1193"/>
      <c r="E21" s="1193"/>
      <c r="F21" s="1193"/>
      <c r="G21" s="1193"/>
      <c r="H21" s="1193"/>
      <c r="I21" s="1193"/>
      <c r="J21" s="1193"/>
      <c r="K21" s="1193"/>
      <c r="L21" s="1193"/>
      <c r="M21" s="1193"/>
      <c r="N21" s="1193"/>
      <c r="O21" s="1193"/>
      <c r="P21" s="1193"/>
      <c r="Q21" s="1193"/>
      <c r="R21" s="1193"/>
      <c r="S21" s="1193"/>
      <c r="T21" s="1193"/>
      <c r="U21" s="1193"/>
      <c r="V21" s="1193"/>
      <c r="W21" s="1193"/>
      <c r="X21" s="1193"/>
      <c r="Y21" s="1193"/>
      <c r="Z21" s="1193"/>
      <c r="AA21" s="1193"/>
      <c r="AB21" s="1193"/>
      <c r="AC21" s="1193"/>
      <c r="AD21" s="1193"/>
      <c r="AE21" s="1193"/>
      <c r="AF21" s="1193"/>
      <c r="AG21" s="1193"/>
      <c r="AH21" s="1193"/>
      <c r="AI21" s="1193"/>
      <c r="AJ21" s="1193"/>
      <c r="AK21" s="1193"/>
      <c r="AL21" s="1193"/>
      <c r="AM21" s="1193"/>
      <c r="AN21" s="1193"/>
      <c r="AO21" s="1193"/>
      <c r="AP21" s="1193"/>
      <c r="AQ21" s="1193"/>
      <c r="AR21" s="1194"/>
      <c r="AS21" s="250"/>
    </row>
    <row r="22" spans="1:44" ht="38.25">
      <c r="A22" s="296"/>
      <c r="B22" s="209">
        <v>11.1</v>
      </c>
      <c r="C22" s="750" t="s">
        <v>585</v>
      </c>
      <c r="D22" s="269" t="s">
        <v>198</v>
      </c>
      <c r="E22" s="331"/>
      <c r="F22" s="308" t="s">
        <v>589</v>
      </c>
      <c r="G22" s="270"/>
      <c r="H22" s="309"/>
      <c r="I22" s="309"/>
      <c r="J22" s="257"/>
      <c r="K22" s="272"/>
      <c r="L22" s="272"/>
      <c r="M22" s="310"/>
      <c r="N22" s="310"/>
      <c r="O22" s="310"/>
      <c r="P22" s="310"/>
      <c r="Q22" s="310"/>
      <c r="R22" s="310"/>
      <c r="S22" s="258"/>
      <c r="T22" s="310"/>
      <c r="U22" s="310"/>
      <c r="V22" s="259"/>
      <c r="W22" s="311"/>
      <c r="X22" s="311"/>
      <c r="Y22" s="259"/>
      <c r="Z22" s="312"/>
      <c r="AA22" s="312"/>
      <c r="AB22" s="260"/>
      <c r="AC22" s="585"/>
      <c r="AD22" s="585"/>
      <c r="AE22" s="603"/>
      <c r="AF22" s="603"/>
      <c r="AG22" s="260"/>
      <c r="AH22" s="603"/>
      <c r="AI22" s="603"/>
      <c r="AJ22" s="260"/>
      <c r="AK22" s="313"/>
      <c r="AL22" s="259">
        <f>J22+S22+V22+Y22+AB22+AG22+AJ22+AK22+AC22+AD22</f>
        <v>0</v>
      </c>
      <c r="AM22" s="415"/>
      <c r="AN22" s="276"/>
      <c r="AO22" s="276"/>
      <c r="AP22" s="276"/>
      <c r="AQ22" s="276"/>
      <c r="AR22" s="262">
        <f>AL22-AM22-AN22-AO22-AP22-AQ22</f>
        <v>0</v>
      </c>
    </row>
    <row r="23" spans="1:44" ht="38.25">
      <c r="A23" s="296"/>
      <c r="B23" s="209">
        <v>11.2</v>
      </c>
      <c r="C23" s="750" t="s">
        <v>586</v>
      </c>
      <c r="D23" s="269" t="s">
        <v>199</v>
      </c>
      <c r="E23" s="331"/>
      <c r="F23" s="308" t="s">
        <v>589</v>
      </c>
      <c r="G23" s="270"/>
      <c r="H23" s="309"/>
      <c r="I23" s="309"/>
      <c r="J23" s="257"/>
      <c r="K23" s="272"/>
      <c r="L23" s="272"/>
      <c r="M23" s="310"/>
      <c r="N23" s="310"/>
      <c r="O23" s="310"/>
      <c r="P23" s="310"/>
      <c r="Q23" s="310"/>
      <c r="R23" s="310"/>
      <c r="S23" s="258"/>
      <c r="T23" s="310"/>
      <c r="U23" s="310"/>
      <c r="V23" s="259"/>
      <c r="W23" s="311"/>
      <c r="X23" s="311"/>
      <c r="Y23" s="259"/>
      <c r="Z23" s="312"/>
      <c r="AA23" s="312"/>
      <c r="AB23" s="260"/>
      <c r="AC23" s="585"/>
      <c r="AD23" s="585"/>
      <c r="AE23" s="603"/>
      <c r="AF23" s="603"/>
      <c r="AG23" s="260"/>
      <c r="AH23" s="603"/>
      <c r="AI23" s="603"/>
      <c r="AJ23" s="260"/>
      <c r="AK23" s="313"/>
      <c r="AL23" s="259">
        <f>J23+S23+V23+Y23+AB23+AG23+AJ23+AK23+AC23+AD23</f>
        <v>0</v>
      </c>
      <c r="AM23" s="415"/>
      <c r="AN23" s="276"/>
      <c r="AO23" s="276"/>
      <c r="AP23" s="276"/>
      <c r="AQ23" s="276"/>
      <c r="AR23" s="262">
        <f>AL23-AM23-AN23-AO23-AP23-AQ23</f>
        <v>0</v>
      </c>
    </row>
    <row r="24" spans="1:44" ht="63.75">
      <c r="A24" s="296"/>
      <c r="B24" s="209">
        <v>11.3</v>
      </c>
      <c r="C24" s="750" t="s">
        <v>587</v>
      </c>
      <c r="D24" s="269" t="s">
        <v>200</v>
      </c>
      <c r="E24" s="337" t="s">
        <v>588</v>
      </c>
      <c r="F24" s="338"/>
      <c r="G24" s="339"/>
      <c r="H24" s="340"/>
      <c r="I24" s="340"/>
      <c r="J24" s="341"/>
      <c r="K24" s="342"/>
      <c r="L24" s="272"/>
      <c r="M24" s="310"/>
      <c r="N24" s="310"/>
      <c r="O24" s="310"/>
      <c r="P24" s="310"/>
      <c r="Q24" s="310"/>
      <c r="R24" s="310"/>
      <c r="S24" s="258"/>
      <c r="T24" s="310"/>
      <c r="U24" s="310"/>
      <c r="V24" s="259">
        <v>200000</v>
      </c>
      <c r="W24" s="311"/>
      <c r="X24" s="311"/>
      <c r="Y24" s="259"/>
      <c r="Z24" s="312"/>
      <c r="AA24" s="312"/>
      <c r="AB24" s="260"/>
      <c r="AC24" s="585"/>
      <c r="AD24" s="585">
        <v>200000</v>
      </c>
      <c r="AE24" s="603"/>
      <c r="AF24" s="603"/>
      <c r="AG24" s="260">
        <v>200000</v>
      </c>
      <c r="AH24" s="603"/>
      <c r="AI24" s="603"/>
      <c r="AJ24" s="260"/>
      <c r="AK24" s="313"/>
      <c r="AL24" s="259">
        <f>J24+S24+V24+Y24+AB24+AG24+AJ24+AK24+AC24+AD24</f>
        <v>600000</v>
      </c>
      <c r="AM24" s="415"/>
      <c r="AN24" s="276">
        <v>600000</v>
      </c>
      <c r="AO24" s="276"/>
      <c r="AP24" s="276"/>
      <c r="AQ24" s="276"/>
      <c r="AR24" s="262">
        <f>AL24-AM24-AN24-AO24-AP24-AQ24</f>
        <v>0</v>
      </c>
    </row>
    <row r="25" spans="1:44" ht="11.25" customHeight="1">
      <c r="A25" s="485"/>
      <c r="B25" s="485"/>
      <c r="C25" s="485"/>
      <c r="D25" s="485"/>
      <c r="E25" s="485"/>
      <c r="F25" s="485"/>
      <c r="G25" s="485"/>
      <c r="H25" s="485"/>
      <c r="I25" s="485"/>
      <c r="J25" s="485">
        <f>SUM(J22:J24)</f>
        <v>0</v>
      </c>
      <c r="K25" s="485">
        <f aca="true" t="shared" si="7" ref="K25:AR25">SUM(K22:K24)</f>
        <v>0</v>
      </c>
      <c r="L25" s="485">
        <f t="shared" si="7"/>
        <v>0</v>
      </c>
      <c r="M25" s="485">
        <f t="shared" si="7"/>
        <v>0</v>
      </c>
      <c r="N25" s="485">
        <f t="shared" si="7"/>
        <v>0</v>
      </c>
      <c r="O25" s="485">
        <f t="shared" si="7"/>
        <v>0</v>
      </c>
      <c r="P25" s="485">
        <f t="shared" si="7"/>
        <v>0</v>
      </c>
      <c r="Q25" s="485">
        <f t="shared" si="7"/>
        <v>0</v>
      </c>
      <c r="R25" s="485">
        <f t="shared" si="7"/>
        <v>0</v>
      </c>
      <c r="S25" s="485">
        <f t="shared" si="7"/>
        <v>0</v>
      </c>
      <c r="T25" s="485">
        <f t="shared" si="7"/>
        <v>0</v>
      </c>
      <c r="U25" s="485">
        <f t="shared" si="7"/>
        <v>0</v>
      </c>
      <c r="V25" s="485">
        <f t="shared" si="7"/>
        <v>200000</v>
      </c>
      <c r="W25" s="485">
        <f t="shared" si="7"/>
        <v>0</v>
      </c>
      <c r="X25" s="485">
        <f t="shared" si="7"/>
        <v>0</v>
      </c>
      <c r="Y25" s="485">
        <f t="shared" si="7"/>
        <v>0</v>
      </c>
      <c r="Z25" s="485">
        <f t="shared" si="7"/>
        <v>0</v>
      </c>
      <c r="AA25" s="485">
        <f t="shared" si="7"/>
        <v>0</v>
      </c>
      <c r="AB25" s="485">
        <f t="shared" si="7"/>
        <v>0</v>
      </c>
      <c r="AC25" s="485">
        <f t="shared" si="7"/>
        <v>0</v>
      </c>
      <c r="AD25" s="485">
        <f t="shared" si="7"/>
        <v>200000</v>
      </c>
      <c r="AE25" s="485">
        <f t="shared" si="7"/>
        <v>0</v>
      </c>
      <c r="AF25" s="485">
        <f t="shared" si="7"/>
        <v>0</v>
      </c>
      <c r="AG25" s="485">
        <f t="shared" si="7"/>
        <v>200000</v>
      </c>
      <c r="AH25" s="485">
        <f t="shared" si="7"/>
        <v>0</v>
      </c>
      <c r="AI25" s="485">
        <f t="shared" si="7"/>
        <v>0</v>
      </c>
      <c r="AJ25" s="485">
        <f t="shared" si="7"/>
        <v>0</v>
      </c>
      <c r="AK25" s="485">
        <f t="shared" si="7"/>
        <v>0</v>
      </c>
      <c r="AL25" s="485">
        <f t="shared" si="7"/>
        <v>600000</v>
      </c>
      <c r="AM25" s="485">
        <f t="shared" si="7"/>
        <v>0</v>
      </c>
      <c r="AN25" s="485">
        <f t="shared" si="7"/>
        <v>600000</v>
      </c>
      <c r="AO25" s="485">
        <f t="shared" si="7"/>
        <v>0</v>
      </c>
      <c r="AP25" s="485">
        <f t="shared" si="7"/>
        <v>0</v>
      </c>
      <c r="AQ25" s="485">
        <f t="shared" si="7"/>
        <v>0</v>
      </c>
      <c r="AR25" s="485">
        <f t="shared" si="7"/>
        <v>0</v>
      </c>
    </row>
    <row r="26" spans="1:44" ht="12.75">
      <c r="A26" s="496"/>
      <c r="B26" s="496"/>
      <c r="C26" s="497"/>
      <c r="D26" s="498"/>
      <c r="E26" s="499"/>
      <c r="F26" s="500"/>
      <c r="G26" s="501"/>
      <c r="H26" s="502"/>
      <c r="I26" s="502"/>
      <c r="J26" s="501">
        <f aca="true" t="shared" si="8" ref="J26:AR26">J11+J15+J20+J25</f>
        <v>0</v>
      </c>
      <c r="K26" s="501">
        <f t="shared" si="8"/>
        <v>0</v>
      </c>
      <c r="L26" s="501">
        <f t="shared" si="8"/>
        <v>0</v>
      </c>
      <c r="M26" s="501">
        <f t="shared" si="8"/>
        <v>0</v>
      </c>
      <c r="N26" s="501">
        <f t="shared" si="8"/>
        <v>0</v>
      </c>
      <c r="O26" s="501">
        <f t="shared" si="8"/>
        <v>0</v>
      </c>
      <c r="P26" s="501">
        <f t="shared" si="8"/>
        <v>0</v>
      </c>
      <c r="Q26" s="501">
        <f t="shared" si="8"/>
        <v>0</v>
      </c>
      <c r="R26" s="501">
        <f t="shared" si="8"/>
        <v>0</v>
      </c>
      <c r="S26" s="501">
        <f t="shared" si="8"/>
        <v>4450</v>
      </c>
      <c r="T26" s="501">
        <f t="shared" si="8"/>
        <v>0</v>
      </c>
      <c r="U26" s="501">
        <f t="shared" si="8"/>
        <v>0</v>
      </c>
      <c r="V26" s="501">
        <f t="shared" si="8"/>
        <v>203500</v>
      </c>
      <c r="W26" s="501">
        <f t="shared" si="8"/>
        <v>0</v>
      </c>
      <c r="X26" s="501">
        <f t="shared" si="8"/>
        <v>0</v>
      </c>
      <c r="Y26" s="501">
        <f t="shared" si="8"/>
        <v>282250</v>
      </c>
      <c r="Z26" s="501">
        <f t="shared" si="8"/>
        <v>0</v>
      </c>
      <c r="AA26" s="501">
        <f t="shared" si="8"/>
        <v>0</v>
      </c>
      <c r="AB26" s="501">
        <f t="shared" si="8"/>
        <v>0</v>
      </c>
      <c r="AC26" s="501">
        <f t="shared" si="8"/>
        <v>0</v>
      </c>
      <c r="AD26" s="501">
        <f t="shared" si="8"/>
        <v>674000</v>
      </c>
      <c r="AE26" s="501">
        <f t="shared" si="8"/>
        <v>0</v>
      </c>
      <c r="AF26" s="501">
        <f t="shared" si="8"/>
        <v>0</v>
      </c>
      <c r="AG26" s="501">
        <f t="shared" si="8"/>
        <v>200000</v>
      </c>
      <c r="AH26" s="501">
        <f t="shared" si="8"/>
        <v>0</v>
      </c>
      <c r="AI26" s="501">
        <f t="shared" si="8"/>
        <v>0</v>
      </c>
      <c r="AJ26" s="501">
        <f t="shared" si="8"/>
        <v>0</v>
      </c>
      <c r="AK26" s="501">
        <f t="shared" si="8"/>
        <v>2007950</v>
      </c>
      <c r="AL26" s="501">
        <f t="shared" si="8"/>
        <v>3372150</v>
      </c>
      <c r="AM26" s="501">
        <f t="shared" si="8"/>
        <v>0</v>
      </c>
      <c r="AN26" s="501">
        <f t="shared" si="8"/>
        <v>1300000</v>
      </c>
      <c r="AO26" s="501">
        <f t="shared" si="8"/>
        <v>0</v>
      </c>
      <c r="AP26" s="501">
        <f t="shared" si="8"/>
        <v>0</v>
      </c>
      <c r="AQ26" s="501">
        <f t="shared" si="8"/>
        <v>0</v>
      </c>
      <c r="AR26" s="501">
        <f t="shared" si="8"/>
        <v>2072150</v>
      </c>
    </row>
    <row r="28" ht="12.75">
      <c r="AL28" s="325">
        <f>AM26+AN26+AO26+AP26+AQ26+AR26</f>
        <v>3372150</v>
      </c>
    </row>
  </sheetData>
  <sheetProtection/>
  <mergeCells count="35">
    <mergeCell ref="A4:A6"/>
    <mergeCell ref="AH5:AJ5"/>
    <mergeCell ref="G4:J5"/>
    <mergeCell ref="K4:S5"/>
    <mergeCell ref="AC5:AC6"/>
    <mergeCell ref="A13:A14"/>
    <mergeCell ref="B4:C6"/>
    <mergeCell ref="A17:A19"/>
    <mergeCell ref="A8:AR8"/>
    <mergeCell ref="A12:AR12"/>
    <mergeCell ref="AL3:AL6"/>
    <mergeCell ref="AM3:AR5"/>
    <mergeCell ref="D4:E6"/>
    <mergeCell ref="A9:A10"/>
    <mergeCell ref="B13:B14"/>
    <mergeCell ref="C13:C14"/>
    <mergeCell ref="B16:E16"/>
    <mergeCell ref="AK3:AK6"/>
    <mergeCell ref="AC3:AJ4"/>
    <mergeCell ref="T5:V5"/>
    <mergeCell ref="W5:Y5"/>
    <mergeCell ref="F5:F6"/>
    <mergeCell ref="B18:B19"/>
    <mergeCell ref="C18:C19"/>
    <mergeCell ref="AD5:AD6"/>
    <mergeCell ref="B21:AR21"/>
    <mergeCell ref="B9:B10"/>
    <mergeCell ref="C9:C10"/>
    <mergeCell ref="T4:Y4"/>
    <mergeCell ref="Z4:AB5"/>
    <mergeCell ref="B2:P2"/>
    <mergeCell ref="A3:E3"/>
    <mergeCell ref="G3:J3"/>
    <mergeCell ref="K3:AB3"/>
    <mergeCell ref="AE5:AG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City Computer</dc:creator>
  <cp:keywords/>
  <dc:description/>
  <cp:lastModifiedBy>WILKINS Ross</cp:lastModifiedBy>
  <cp:lastPrinted>2018-05-28T17:14:05Z</cp:lastPrinted>
  <dcterms:created xsi:type="dcterms:W3CDTF">2011-06-14T16:15:51Z</dcterms:created>
  <dcterms:modified xsi:type="dcterms:W3CDTF">2018-09-06T09:44:13Z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